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APq1XhzJg0/loiVczpGPODpfO2J5nTJsRGp39TGRTIT36EQan8BO8CLxXA62O7nwhc7+09lgXe2lfX1tjk8YJQ==" workbookSaltValue="B4Ub7TbL9MMCuAKVWCx+H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3" i="2"/>
  <c r="M14" i="2"/>
  <c r="N14" i="2"/>
  <c r="K30" i="2"/>
  <c r="F30" i="17"/>
  <c r="F14" i="7"/>
  <c r="T14" i="16"/>
  <c r="T14" i="20"/>
  <c r="BF25" i="8"/>
  <c r="BD9" i="8"/>
  <c r="BF9" i="8"/>
  <c r="C30" i="7"/>
  <c r="AO14" i="21"/>
  <c r="AP14" i="16"/>
  <c r="T23" i="17"/>
  <c r="T26" i="17" s="1"/>
  <c r="T30" i="17" s="1"/>
  <c r="BG16" i="13"/>
  <c r="BE17" i="13"/>
  <c r="BE16" i="13"/>
  <c r="X32" i="20"/>
  <c r="G30" i="14"/>
  <c r="G23" i="14"/>
  <c r="BF17" i="8" l="1"/>
  <c r="BD12" i="8"/>
  <c r="H12" i="7" s="1"/>
  <c r="H28" i="2"/>
  <c r="Z14" i="17"/>
  <c r="R8" i="9"/>
  <c r="AA28" i="16"/>
  <c r="X22" i="17"/>
  <c r="X10" i="17"/>
  <c r="X18" i="17"/>
  <c r="X18" i="20"/>
  <c r="X20" i="20"/>
  <c r="V16" i="16"/>
  <c r="V12" i="16"/>
  <c r="T19" i="20"/>
  <c r="X25" i="16"/>
  <c r="X30" i="16" s="1"/>
  <c r="S19" i="14"/>
  <c r="V19" i="14" s="1"/>
  <c r="S29" i="14"/>
  <c r="V29" i="14" s="1"/>
  <c r="R12" i="14"/>
  <c r="R19" i="14"/>
  <c r="R29" i="14"/>
  <c r="T13" i="11"/>
  <c r="T25" i="11"/>
  <c r="T11" i="11"/>
  <c r="S9" i="14"/>
  <c r="V9" i="14" s="1"/>
  <c r="T16" i="11"/>
  <c r="X25" i="17"/>
  <c r="X17" i="17"/>
  <c r="X21" i="17"/>
  <c r="X11" i="17"/>
  <c r="U10" i="21"/>
  <c r="X17" i="20"/>
  <c r="S22" i="17"/>
  <c r="AZ28" i="11"/>
  <c r="X9" i="16"/>
  <c r="X31" i="16" s="1"/>
  <c r="X12" i="16"/>
  <c r="X22" i="16"/>
  <c r="R13" i="17"/>
  <c r="AS14" i="8"/>
  <c r="AS31" i="8" s="1"/>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BH30" i="16"/>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C30" i="2"/>
  <c r="D30" i="2" s="1"/>
  <c r="AL18" i="11"/>
  <c r="AO21" i="17"/>
  <c r="BI18" i="16"/>
  <c r="B29" i="6"/>
  <c r="AN9" i="11"/>
  <c r="K9" i="7"/>
  <c r="AO11" i="11"/>
  <c r="AL9" i="11"/>
  <c r="H12" i="2"/>
  <c r="H10" i="2"/>
  <c r="AM11" i="11"/>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N13" i="11"/>
  <c r="B21" i="6"/>
  <c r="J12" i="2"/>
  <c r="H9" i="2"/>
  <c r="D19" i="6"/>
  <c r="BI17" i="16"/>
  <c r="L11" i="14"/>
  <c r="E20" i="6"/>
  <c r="H16" i="2"/>
  <c r="T10" i="21"/>
  <c r="V10" i="21" s="1"/>
  <c r="BD23" i="19"/>
  <c r="BB31" i="19"/>
  <c r="BE30" i="19"/>
  <c r="AT26" i="20"/>
  <c r="Y31" i="19"/>
  <c r="AG31" i="19"/>
  <c r="F17" i="17"/>
  <c r="AZ14" i="13"/>
  <c r="BM31" i="13"/>
  <c r="AD31" i="13"/>
  <c r="BE18" i="13"/>
  <c r="BG19" i="13"/>
  <c r="BG20" i="13"/>
  <c r="BE21" i="13"/>
  <c r="BD28" i="13"/>
  <c r="BC30" i="13"/>
  <c r="BG29" i="13"/>
  <c r="BB30" i="13"/>
  <c r="BF28" i="8"/>
  <c r="J28" i="7" s="1"/>
  <c r="BC30" i="8"/>
  <c r="AZ30" i="8"/>
  <c r="BB30" i="8"/>
  <c r="AO26" i="17"/>
  <c r="AJ31" i="8"/>
  <c r="AQ26" i="21"/>
  <c r="AN26" i="17"/>
  <c r="AH31" i="8"/>
  <c r="F12" i="10"/>
  <c r="J12" i="10"/>
  <c r="L12" i="10" s="1"/>
  <c r="AI26" i="11"/>
  <c r="D30" i="14"/>
  <c r="F12" i="2"/>
  <c r="E14" i="2"/>
  <c r="F14" i="2" s="1"/>
  <c r="I14" i="2"/>
  <c r="J14" i="2" s="1"/>
  <c r="L20" i="14"/>
  <c r="C18" i="6"/>
  <c r="AP19" i="11"/>
  <c r="AP12" i="11"/>
  <c r="AP10" i="11"/>
  <c r="AP14" i="17"/>
  <c r="BJ14" i="16"/>
  <c r="O31" i="8"/>
  <c r="AW23" i="21"/>
  <c r="BM23" i="16"/>
  <c r="H33" i="21"/>
  <c r="H29" i="2"/>
  <c r="B25" i="6"/>
  <c r="F18" i="2"/>
  <c r="J16" i="2"/>
  <c r="BE10" i="8"/>
  <c r="I10" i="7" s="1"/>
  <c r="G21" i="3"/>
  <c r="G12" i="3"/>
  <c r="W14" i="17"/>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G14" i="2"/>
  <c r="D12" i="2"/>
  <c r="AO12" i="11"/>
  <c r="E12" i="6"/>
  <c r="D10" i="2"/>
  <c r="AO10" i="11"/>
  <c r="E10" i="6"/>
  <c r="L13" i="14"/>
  <c r="J13" i="2"/>
  <c r="D19" i="2"/>
  <c r="AO19" i="11"/>
  <c r="C23" i="2"/>
  <c r="D23" i="2" s="1"/>
  <c r="I9" i="7"/>
  <c r="H16" i="7"/>
  <c r="H25" i="7"/>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J9" i="2"/>
  <c r="B22" i="6"/>
  <c r="AN22" i="11"/>
  <c r="L22" i="14"/>
  <c r="C22" i="6"/>
  <c r="J22" i="2"/>
  <c r="J20" i="7"/>
  <c r="BC33" i="21"/>
  <c r="BE14" i="19"/>
  <c r="Q31" i="19"/>
  <c r="X31" i="19"/>
  <c r="AF31" i="19"/>
  <c r="AN31" i="19"/>
  <c r="BI31" i="19"/>
  <c r="AY31" i="19"/>
  <c r="AP14" i="20"/>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P25" i="11" s="1"/>
  <c r="BH18" i="11"/>
  <c r="BG19" i="11"/>
  <c r="BM16" i="11"/>
  <c r="AZ9" i="11"/>
  <c r="AP26" i="21"/>
  <c r="BM20" i="11"/>
  <c r="Q20" i="11" s="1"/>
  <c r="AP18" i="20"/>
  <c r="BJ28" i="11"/>
  <c r="BG21" i="11"/>
  <c r="BU28" i="17"/>
  <c r="BU25" i="17"/>
  <c r="BU11" i="17"/>
  <c r="BV28" i="16"/>
  <c r="BW9" i="20"/>
  <c r="BV13" i="16"/>
  <c r="BU21" i="17"/>
  <c r="BW13" i="20"/>
  <c r="BV17" i="16"/>
  <c r="BV21" i="16"/>
  <c r="BW17" i="20"/>
  <c r="BU29" i="17"/>
  <c r="BV25" i="16"/>
  <c r="BV11" i="16"/>
  <c r="T18" i="11"/>
  <c r="S20" i="14"/>
  <c r="V20" i="14" s="1"/>
  <c r="BH16" i="11"/>
  <c r="BH23" i="11" s="1"/>
  <c r="P18" i="17"/>
  <c r="BF29" i="11"/>
  <c r="BK19" i="11"/>
  <c r="BG29" i="11"/>
  <c r="Q10" i="21"/>
  <c r="BK25" i="11"/>
  <c r="BH20" i="11"/>
  <c r="BG9" i="11"/>
  <c r="BL11" i="11"/>
  <c r="R18" i="20"/>
  <c r="R23" i="20" s="1"/>
  <c r="BL21" i="11"/>
  <c r="BK18" i="11"/>
  <c r="T18" i="16"/>
  <c r="BL29" i="11"/>
  <c r="T16" i="16"/>
  <c r="BW20" i="20"/>
  <c r="BV19" i="16"/>
  <c r="BV18" i="16"/>
  <c r="BW18" i="20"/>
  <c r="BV12" i="16"/>
  <c r="BV14" i="16" s="1"/>
  <c r="BW12" i="20"/>
  <c r="BV16"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P12" i="11" s="1"/>
  <c r="BL16" i="11"/>
  <c r="BH25" i="16"/>
  <c r="BH21" i="11"/>
  <c r="BK20" i="11"/>
  <c r="AZ25" i="11"/>
  <c r="AZ30" i="11" s="1"/>
  <c r="BJ10" i="11"/>
  <c r="BK17" i="11"/>
  <c r="Q16" i="17"/>
  <c r="BM18" i="11"/>
  <c r="BF16" i="11"/>
  <c r="BF23" i="11" s="1"/>
  <c r="BH17" i="11"/>
  <c r="BL22" i="11"/>
  <c r="AQ12" i="21"/>
  <c r="BI22" i="11"/>
  <c r="BH25" i="11"/>
  <c r="BK10" i="11"/>
  <c r="BI21" i="11"/>
  <c r="L22" i="2"/>
  <c r="L29" i="2"/>
  <c r="L16" i="2"/>
  <c r="L17" i="2"/>
  <c r="X19" i="16"/>
  <c r="L18" i="2"/>
  <c r="L20" i="2"/>
  <c r="AA11" i="16"/>
  <c r="L21" i="2"/>
  <c r="AA9" i="16"/>
  <c r="V9" i="16"/>
  <c r="BH11" i="16"/>
  <c r="BK13" i="11"/>
  <c r="BH19" i="16"/>
  <c r="BM29" i="11"/>
  <c r="BH19" i="11"/>
  <c r="BK9" i="11"/>
  <c r="BK14" i="11" s="1"/>
  <c r="S9" i="17"/>
  <c r="BI10" i="11"/>
  <c r="BM25" i="11"/>
  <c r="V28" i="11"/>
  <c r="BI18" i="11"/>
  <c r="S28" i="14"/>
  <c r="V28" i="14" s="1"/>
  <c r="BH28" i="16"/>
  <c r="V29" i="11"/>
  <c r="V22" i="11"/>
  <c r="AZ21" i="11"/>
  <c r="AO28" i="17"/>
  <c r="BJ25" i="11"/>
  <c r="AZ16" i="11"/>
  <c r="AZ23" i="11" s="1"/>
  <c r="AZ26" i="11" s="1"/>
  <c r="BU16" i="17"/>
  <c r="BW19" i="20"/>
  <c r="X20" i="16"/>
  <c r="BU10" i="17"/>
  <c r="BW25" i="20"/>
  <c r="BU22" i="17"/>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Q17" i="11" s="1"/>
  <c r="S18" i="17"/>
  <c r="BM21" i="11"/>
  <c r="Q21" i="11" s="1"/>
  <c r="BM9" i="11"/>
  <c r="AO25" i="17"/>
  <c r="BH12" i="16"/>
  <c r="BJ17" i="11"/>
  <c r="BJ23" i="11" s="1"/>
  <c r="BK22" i="11"/>
  <c r="BL17" i="11"/>
  <c r="BL23" i="11" s="1"/>
  <c r="BH22" i="11"/>
  <c r="L10" i="2"/>
  <c r="L28" i="2"/>
  <c r="X21" i="20"/>
  <c r="S16" i="17"/>
  <c r="S17" i="17"/>
  <c r="L12" i="2"/>
  <c r="L25" i="2"/>
  <c r="L13" i="2"/>
  <c r="X10" i="21"/>
  <c r="X31" i="21" s="1"/>
  <c r="L19" i="2"/>
  <c r="U9" i="17"/>
  <c r="U31" i="17" s="1"/>
  <c r="L9" i="2"/>
  <c r="V25" i="16"/>
  <c r="X13" i="16"/>
  <c r="T28" i="11"/>
  <c r="T19" i="11"/>
  <c r="R22" i="14"/>
  <c r="R11" i="14"/>
  <c r="S21" i="14"/>
  <c r="V21" i="14" s="1"/>
  <c r="S10" i="14"/>
  <c r="V10" i="14" s="1"/>
  <c r="AQ14" i="21"/>
  <c r="AO9" i="17"/>
  <c r="AM13" i="11"/>
  <c r="AP14" i="21"/>
  <c r="AM16" i="11"/>
  <c r="AM12" i="11"/>
  <c r="X14" i="17"/>
  <c r="AO16" i="17"/>
  <c r="BH26" i="16"/>
  <c r="AP30" i="20"/>
  <c r="AM21" i="11"/>
  <c r="S28" i="17"/>
  <c r="AM19" i="11"/>
  <c r="AO10" i="17"/>
  <c r="AO30" i="17"/>
  <c r="AP23" i="20"/>
  <c r="AP30" i="21"/>
  <c r="X14" i="20"/>
  <c r="Q9" i="11"/>
  <c r="AM17" i="11"/>
  <c r="S13" i="17"/>
  <c r="X16" i="16"/>
  <c r="X23" i="16" s="1"/>
  <c r="U13" i="17"/>
  <c r="L11" i="2"/>
  <c r="V21" i="16"/>
  <c r="V18" i="16"/>
  <c r="V12" i="21"/>
  <c r="V14" i="21" s="1"/>
  <c r="V31" i="21" s="1"/>
  <c r="X22" i="20"/>
  <c r="X9" i="17"/>
  <c r="X12" i="17"/>
  <c r="AA10" i="16"/>
  <c r="T20" i="11"/>
  <c r="S16" i="14"/>
  <c r="V16" i="14" s="1"/>
  <c r="T9" i="11"/>
  <c r="T29" i="11"/>
  <c r="T21" i="11"/>
  <c r="AM9" i="11"/>
  <c r="R25" i="14"/>
  <c r="R17" i="14"/>
  <c r="R10" i="14"/>
  <c r="S17" i="14"/>
  <c r="V17" i="14" s="1"/>
  <c r="S12" i="14"/>
  <c r="V12" i="14" s="1"/>
  <c r="V16" i="20"/>
  <c r="V23" i="20" s="1"/>
  <c r="V26" i="20" s="1"/>
  <c r="V19" i="16"/>
  <c r="V10" i="16"/>
  <c r="AA12" i="21"/>
  <c r="X19" i="20"/>
  <c r="T18" i="20"/>
  <c r="AA16" i="16"/>
  <c r="X13" i="17"/>
  <c r="AA17" i="16"/>
  <c r="AA25" i="16"/>
  <c r="V13" i="16"/>
  <c r="T22" i="11"/>
  <c r="T12" i="11"/>
  <c r="R18" i="14"/>
  <c r="S18" i="14"/>
  <c r="V18" i="14" s="1"/>
  <c r="S13" i="14"/>
  <c r="V13" i="14" s="1"/>
  <c r="R13" i="14"/>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P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BU33" i="17"/>
  <c r="Q29" i="11"/>
  <c r="BW33" i="20"/>
  <c r="U26" i="17"/>
  <c r="P29" i="11"/>
  <c r="P21" i="11"/>
  <c r="U14" i="17"/>
  <c r="Q31" i="20"/>
  <c r="P20" i="11"/>
  <c r="P17" i="11"/>
  <c r="Q23" i="17"/>
  <c r="Q31" i="17" s="1"/>
  <c r="AZ14" i="11"/>
  <c r="AZ31" i="11"/>
  <c r="BH14" i="11"/>
  <c r="Q12" i="11"/>
  <c r="R31" i="20"/>
  <c r="V31" i="20"/>
  <c r="P13" i="11"/>
  <c r="Q13"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<sst xmlns="http://schemas.openxmlformats.org/spreadsheetml/2006/main" count="2682" uniqueCount="1193">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</sst>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iviLde6i3Xeji6h794YT2kog7z+8fANDWdv6jMxsltJ6t0CfM6GfbLYwVudd13ABze8rZJhCUKvRvRgGqGoFg==" saltValue="sESNt2/S2Pu5OoV3F0fP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6</v>
      </c>
      <c r="F10" s="240">
        <f>IF(ISNUMBER(Datos!K10),Datos!K10," - ")</f>
        <v>9</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1.2222222222222221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7.4049945711183494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330</v>
      </c>
      <c r="D17" s="239">
        <f>IF(ISNUMBER(IF(D_I="SI",Datos!I17,Datos!I17+Datos!AC17)),IF(D_I="SI",Datos!I17,Datos!I17+Datos!AC17)," - ")</f>
        <v>303</v>
      </c>
      <c r="E17" s="240">
        <f>IF(ISNUMBER(IF(D_I="SI",Datos!J17,Datos!J17+Datos!AD17)),IF(D_I="SI",Datos!J17,Datos!J17+Datos!AD17)," - ")</f>
        <v>1162</v>
      </c>
      <c r="F17" s="240">
        <f>IF(ISNUMBER(IF(D_I="SI",Datos!K17,Datos!K17+Datos!AE17)),IF(D_I="SI",Datos!K17,Datos!K17+Datos!AE17)," - ")</f>
        <v>1179</v>
      </c>
      <c r="G17" s="1390" t="str">
        <f>IF(Datos!E17&lt;&gt;"",Datos!E17,Datos!D17)</f>
        <v>04</v>
      </c>
      <c r="H17" s="241">
        <f>IF(ISNUMBER(IF(D_I="SI",Datos!L17,Datos!L17+Datos!AF17)),IF(D_I="SI",Datos!L17,Datos!L17+Datos!AF17)," - ")</f>
        <v>313</v>
      </c>
      <c r="I17" s="1400" t="str">
        <f>IF(ISNUMBER(Datos!AS17/Datos!BM17),Datos!AS17/Datos!BM17," - ")</f>
        <v xml:space="preserve"> - </v>
      </c>
      <c r="J17" s="1401">
        <f>IF(ISNUMBER(Datos!BY17/Datos!CN17),Datos!BY17/Datos!CN17," - ")</f>
        <v>0</v>
      </c>
      <c r="K17" s="244">
        <f t="shared" si="3"/>
        <v>-5.1515151515151514E-2</v>
      </c>
      <c r="L17" s="1402">
        <f>IF(ISNUMBER(NºAsuntos!I17/NºAsuntos!G17),(NºAsuntos!I17/NºAsuntos!G17)*11," - ")</f>
        <v>2.9202714164546224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9</v>
      </c>
      <c r="E18" s="240">
        <f>IF(ISNUMBER(IF(D_I="SI",Datos!J18,Datos!J18+Datos!AD18)),IF(D_I="SI",Datos!J18,Datos!J18+Datos!AD18)," - ")</f>
        <v>93</v>
      </c>
      <c r="F18" s="240">
        <f>IF(ISNUMBER(IF(D_I="SI",Datos!K18,Datos!K18+Datos!AE18)),IF(D_I="SI",Datos!K18,Datos!K18+Datos!AE18)," - ")</f>
        <v>96</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-0.3</v>
      </c>
      <c r="L18" s="1402">
        <f>IF(ISNUMBER(NºAsuntos!I18/NºAsuntos!G18),(NºAsuntos!I18/NºAsuntos!G18)*11," - ")</f>
        <v>0.80208333333333337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340</v>
      </c>
      <c r="D23" s="1407">
        <f>SUBTOTAL(9,D16:D22)</f>
        <v>312</v>
      </c>
      <c r="E23" s="1408">
        <f>SUBTOTAL(9,E16:E22)</f>
        <v>1255</v>
      </c>
      <c r="F23" s="1408">
        <f>SUBTOTAL(9,F16:F22)</f>
        <v>1275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344</v>
      </c>
      <c r="D31" s="1435">
        <f>SUBTOTAL(9,D9:D30)</f>
        <v>316</v>
      </c>
      <c r="E31" s="1436">
        <f>SUBTOTAL(9,E9:E30)</f>
        <v>1261</v>
      </c>
      <c r="F31" s="1436">
        <f>SUBTOTAL(9,F9:F30)</f>
        <v>1284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ogQBwFfaxFLW9rWDROpLu0rDCS41My5k3ZY8EWBmIJ0IrxsU5LAGJmg0HMETDq5DlkjmIeb8SdPtDHzvIq62pQ==" saltValue="PNTWBwmB5gmU0ub7ajhBK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Rt9Qx3vNbVvRELusziNz/+vAMpsSQgAR2/JIL10cblWPfYlAV3CfkjoOhkJiTysALA5g/sBPgdTAfK0mrTeGQ==" saltValue="jz2vrbz7SOwZRoJBtLDO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6</v>
      </c>
      <c r="K10" s="194">
        <v>9</v>
      </c>
      <c r="L10" s="194">
        <v>1</v>
      </c>
      <c r="M10" s="194">
        <v>3</v>
      </c>
      <c r="N10" s="194">
        <v>1</v>
      </c>
      <c r="O10" s="194">
        <v>2</v>
      </c>
      <c r="P10" s="194">
        <v>2</v>
      </c>
      <c r="Q10" s="194">
        <v>1</v>
      </c>
      <c r="R10" s="194">
        <v>2</v>
      </c>
      <c r="S10" s="194">
        <v>8</v>
      </c>
      <c r="T10" s="194">
        <v>7</v>
      </c>
      <c r="U10" s="194">
        <v>11</v>
      </c>
      <c r="V10" s="194">
        <v>4</v>
      </c>
      <c r="W10" s="194">
        <v>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7</v>
      </c>
      <c r="BA10" s="139">
        <f t="shared" si="0"/>
        <v>11</v>
      </c>
      <c r="BB10" s="139">
        <f t="shared" si="0"/>
        <v>4</v>
      </c>
      <c r="BC10" s="135">
        <f t="shared" si="0"/>
        <v>7</v>
      </c>
      <c r="BD10" s="136">
        <f>IF(ISNUMBER(BA10/AZ10),BA10/AZ10," - ")</f>
        <v>1.5714285714285714</v>
      </c>
      <c r="BE10" s="137">
        <f>IF(ISNUMBER(BB10/BA10),BB10/BA10, " - ")</f>
        <v>0.36363636363636365</v>
      </c>
      <c r="BF10" s="137">
        <f>IF(ISNUMBER(BC10/BA10),BC10/BA10, " - ")</f>
        <v>0.63636363636363635</v>
      </c>
      <c r="BG10" s="209">
        <f>IF(ISNUMBER((AY10+AZ10)/BA10),(AY10+AZ10)/BA10," - ")</f>
        <v>1.3636363636363635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457</v>
      </c>
      <c r="J12" s="196">
        <v>992</v>
      </c>
      <c r="K12" s="196">
        <v>853</v>
      </c>
      <c r="L12" s="196">
        <v>596</v>
      </c>
      <c r="M12" s="196">
        <v>211</v>
      </c>
      <c r="N12" s="196">
        <v>393</v>
      </c>
      <c r="O12" s="194">
        <v>384</v>
      </c>
      <c r="P12" s="196">
        <v>239</v>
      </c>
      <c r="Q12" s="196">
        <v>176</v>
      </c>
      <c r="R12" s="196">
        <v>1121</v>
      </c>
      <c r="S12" s="196">
        <v>493</v>
      </c>
      <c r="T12" s="196">
        <v>869</v>
      </c>
      <c r="U12" s="196">
        <v>905</v>
      </c>
      <c r="V12" s="196">
        <v>457</v>
      </c>
      <c r="W12" s="196">
        <v>213</v>
      </c>
      <c r="X12" s="202">
        <v>417</v>
      </c>
      <c r="Y12" s="204">
        <v>22</v>
      </c>
      <c r="Z12" s="194">
        <v>70</v>
      </c>
      <c r="AA12" s="194">
        <v>68</v>
      </c>
      <c r="AB12" s="194">
        <v>24</v>
      </c>
      <c r="AC12" s="196">
        <v>0</v>
      </c>
      <c r="AD12" s="196">
        <v>0</v>
      </c>
      <c r="AE12" s="196">
        <v>0</v>
      </c>
      <c r="AF12" s="202">
        <v>0</v>
      </c>
      <c r="AG12" s="215">
        <v>28</v>
      </c>
      <c r="AH12" s="196">
        <v>60</v>
      </c>
      <c r="AI12" s="196">
        <v>66</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521</v>
      </c>
      <c r="AZ12" s="137">
        <f t="shared" si="1"/>
        <v>929</v>
      </c>
      <c r="BA12" s="137">
        <f t="shared" si="1"/>
        <v>971</v>
      </c>
      <c r="BB12" s="137">
        <f t="shared" si="1"/>
        <v>479</v>
      </c>
      <c r="BC12" s="135">
        <f>IF(ISNUMBER(X12),X12," - ")</f>
        <v>417</v>
      </c>
      <c r="BD12" s="136">
        <f t="shared" si="2"/>
        <v>1.0452099031216362</v>
      </c>
      <c r="BE12" s="137">
        <f t="shared" si="3"/>
        <v>0.49330587023686923</v>
      </c>
      <c r="BF12" s="137">
        <f t="shared" si="4"/>
        <v>0.42945417095777549</v>
      </c>
      <c r="BG12" s="209">
        <f t="shared" si="5"/>
        <v>1.4933058702368691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461</v>
      </c>
      <c r="J14" s="197">
        <f t="shared" si="7"/>
        <v>998</v>
      </c>
      <c r="K14" s="197">
        <f t="shared" si="7"/>
        <v>862</v>
      </c>
      <c r="L14" s="197">
        <f t="shared" si="7"/>
        <v>597</v>
      </c>
      <c r="M14" s="197">
        <f t="shared" si="7"/>
        <v>214</v>
      </c>
      <c r="N14" s="197">
        <f t="shared" si="7"/>
        <v>394</v>
      </c>
      <c r="O14" s="197">
        <f t="shared" si="7"/>
        <v>386</v>
      </c>
      <c r="P14" s="197">
        <f t="shared" si="7"/>
        <v>241</v>
      </c>
      <c r="Q14" s="197">
        <f t="shared" si="7"/>
        <v>177</v>
      </c>
      <c r="R14" s="197">
        <f t="shared" si="7"/>
        <v>1123</v>
      </c>
      <c r="S14" s="197">
        <f t="shared" si="7"/>
        <v>501</v>
      </c>
      <c r="T14" s="197">
        <f t="shared" si="7"/>
        <v>876</v>
      </c>
      <c r="U14" s="197">
        <f t="shared" si="7"/>
        <v>916</v>
      </c>
      <c r="V14" s="197">
        <f t="shared" si="7"/>
        <v>461</v>
      </c>
      <c r="W14" s="197">
        <f t="shared" si="7"/>
        <v>220</v>
      </c>
      <c r="X14" s="197">
        <f t="shared" si="7"/>
        <v>420</v>
      </c>
      <c r="Y14" s="197">
        <f t="shared" si="7"/>
        <v>22</v>
      </c>
      <c r="Z14" s="197">
        <f t="shared" si="7"/>
        <v>70</v>
      </c>
      <c r="AA14" s="197">
        <f t="shared" si="7"/>
        <v>68</v>
      </c>
      <c r="AB14" s="197">
        <f t="shared" si="7"/>
        <v>24</v>
      </c>
      <c r="AC14" s="197">
        <f t="shared" si="7"/>
        <v>0</v>
      </c>
      <c r="AD14" s="197">
        <f t="shared" si="7"/>
        <v>0</v>
      </c>
      <c r="AE14" s="197">
        <f t="shared" si="7"/>
        <v>0</v>
      </c>
      <c r="AF14" s="197">
        <f>SUBTOTAL(9,AF9:AF13)</f>
        <v>0</v>
      </c>
      <c r="AG14" s="197">
        <f t="shared" ref="AG14:AT14" si="8">SUBTOTAL(9,AG8:AG13)</f>
        <v>28</v>
      </c>
      <c r="AH14" s="197">
        <f t="shared" si="8"/>
        <v>60</v>
      </c>
      <c r="AI14" s="197">
        <f t="shared" si="8"/>
        <v>66</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529</v>
      </c>
      <c r="AZ14" s="197">
        <f>SUBTOTAL(9,AZ8:AZ13)</f>
        <v>936</v>
      </c>
      <c r="BA14" s="197">
        <f>SUBTOTAL(9,BA8:BA13)</f>
        <v>982</v>
      </c>
      <c r="BB14" s="197">
        <f>SUBTOTAL(9,BB8:BB13)</f>
        <v>483</v>
      </c>
      <c r="BC14" s="197">
        <f>SUBTOTAL(9,BC8:BC13)</f>
        <v>424</v>
      </c>
      <c r="BD14" s="219">
        <f>IF(ISNUMBER(BA14/AZ14),BA14/AZ14," - ")</f>
        <v>1.0491452991452992</v>
      </c>
      <c r="BE14" s="220">
        <f>IF(ISNUMBER(BB14/BA14),BB14/BA14, " - ")</f>
        <v>0.49185336048879835</v>
      </c>
      <c r="BF14" s="220">
        <f>IF(ISNUMBER(BC14/BA14),BC14/BA14, " - ")</f>
        <v>0.43177189409368638</v>
      </c>
      <c r="BG14" s="221">
        <f>IF(ISNUMBER((AY14+AZ14)/BA14),(AY14+AZ14)/BA14," - ")</f>
        <v>1.4918533604887985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303</v>
      </c>
      <c r="J17" s="196">
        <v>1162</v>
      </c>
      <c r="K17" s="196">
        <v>1179</v>
      </c>
      <c r="L17" s="196">
        <v>313</v>
      </c>
      <c r="M17" s="196">
        <v>198</v>
      </c>
      <c r="N17" s="196">
        <v>700</v>
      </c>
      <c r="O17" s="194">
        <v>35</v>
      </c>
      <c r="P17" s="196">
        <v>65</v>
      </c>
      <c r="Q17" s="196">
        <v>47</v>
      </c>
      <c r="R17" s="196">
        <v>65</v>
      </c>
      <c r="S17" s="196">
        <v>278</v>
      </c>
      <c r="T17" s="196">
        <v>1138</v>
      </c>
      <c r="U17" s="196">
        <v>1139</v>
      </c>
      <c r="V17" s="196">
        <v>303</v>
      </c>
      <c r="W17" s="196">
        <v>162</v>
      </c>
      <c r="X17" s="202">
        <v>690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278</v>
      </c>
      <c r="AZ17" s="137">
        <f t="shared" si="10"/>
        <v>1138</v>
      </c>
      <c r="BA17" s="137">
        <f t="shared" si="10"/>
        <v>1139</v>
      </c>
      <c r="BB17" s="137">
        <f t="shared" si="10"/>
        <v>303</v>
      </c>
      <c r="BC17" s="135">
        <f>IF(ISNUMBER(W17),W17," - ")</f>
        <v>162</v>
      </c>
      <c r="BD17" s="136">
        <f t="shared" ref="BD17:BD22" si="12">IF(ISNUMBER(BA17/AZ17),BA17/AZ17," - ")</f>
        <v>1.0008787346221442</v>
      </c>
      <c r="BE17" s="137">
        <f t="shared" ref="BE17:BE22" si="13">IF(ISNUMBER(BB17/BA17),BB17/BA17, " - ")</f>
        <v>0.26602282704126429</v>
      </c>
      <c r="BF17" s="137">
        <f t="shared" ref="BF17:BF22" si="14">IF(ISNUMBER(BC17/BA17),BC17/BA17, " - ")</f>
        <v>0.14223002633889376</v>
      </c>
      <c r="BG17" s="209">
        <f t="shared" si="11"/>
        <v>1.2431957857769973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93</v>
      </c>
      <c r="K18" s="196">
        <v>96</v>
      </c>
      <c r="L18" s="196">
        <v>7</v>
      </c>
      <c r="M18" s="196">
        <v>11</v>
      </c>
      <c r="N18" s="196">
        <v>63</v>
      </c>
      <c r="O18" s="196">
        <v>0</v>
      </c>
      <c r="P18" s="196">
        <v>0</v>
      </c>
      <c r="Q18" s="196">
        <v>0</v>
      </c>
      <c r="R18" s="196">
        <v>0</v>
      </c>
      <c r="S18" s="196">
        <v>8</v>
      </c>
      <c r="T18" s="196">
        <v>61</v>
      </c>
      <c r="U18" s="196">
        <v>60</v>
      </c>
      <c r="V18" s="196">
        <v>9</v>
      </c>
      <c r="W18" s="196">
        <v>11</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61</v>
      </c>
      <c r="BA18" s="139">
        <f t="shared" si="15"/>
        <v>60</v>
      </c>
      <c r="BB18" s="139">
        <f t="shared" si="15"/>
        <v>9</v>
      </c>
      <c r="BC18" s="135">
        <f>IF(ISNUMBER(W18),W18," - ")</f>
        <v>11</v>
      </c>
      <c r="BD18" s="136">
        <f>IF(ISNUMBER(BA18/AZ18),BA18/AZ18," - ")</f>
        <v>0.98360655737704916</v>
      </c>
      <c r="BE18" s="137">
        <f>IF(ISNUMBER(BB18/BA18),BB18/BA18, " - ")</f>
        <v>0.15</v>
      </c>
      <c r="BF18" s="137">
        <f>IF(ISNUMBER(BC18/BA18),BC18/BA18, " - ")</f>
        <v>0.18333333333333332</v>
      </c>
      <c r="BG18" s="209">
        <f>IF(ISNUMBER((AY18+AZ18)/BA18),(AY18+AZ18)/BA18," - ")</f>
        <v>1.1499999999999999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312</v>
      </c>
      <c r="J23" s="197">
        <f t="shared" si="21"/>
        <v>1255</v>
      </c>
      <c r="K23" s="197">
        <f t="shared" si="21"/>
        <v>1275</v>
      </c>
      <c r="L23" s="197">
        <f t="shared" si="21"/>
        <v>320</v>
      </c>
      <c r="M23" s="197">
        <f t="shared" si="21"/>
        <v>209</v>
      </c>
      <c r="N23" s="197">
        <f t="shared" si="21"/>
        <v>763</v>
      </c>
      <c r="O23" s="197">
        <f t="shared" si="21"/>
        <v>35</v>
      </c>
      <c r="P23" s="197">
        <f t="shared" si="21"/>
        <v>65</v>
      </c>
      <c r="Q23" s="197">
        <f t="shared" si="21"/>
        <v>47</v>
      </c>
      <c r="R23" s="197">
        <f t="shared" si="21"/>
        <v>65</v>
      </c>
      <c r="S23" s="197">
        <f t="shared" si="21"/>
        <v>286</v>
      </c>
      <c r="T23" s="197">
        <f t="shared" si="21"/>
        <v>1199</v>
      </c>
      <c r="U23" s="197">
        <f t="shared" si="21"/>
        <v>1199</v>
      </c>
      <c r="V23" s="197">
        <f t="shared" si="21"/>
        <v>312</v>
      </c>
      <c r="W23" s="197">
        <f t="shared" si="21"/>
        <v>173</v>
      </c>
      <c r="X23" s="197">
        <f t="shared" si="21"/>
        <v>742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286</v>
      </c>
      <c r="AZ23" s="197">
        <f>SUBTOTAL(9,AZ15:AZ22)</f>
        <v>1199</v>
      </c>
      <c r="BA23" s="197">
        <f>SUBTOTAL(9,BA15:BA22)</f>
        <v>1199</v>
      </c>
      <c r="BB23" s="197">
        <f>SUBTOTAL(9,BB15:BB22)</f>
        <v>312</v>
      </c>
      <c r="BC23" s="197">
        <f>SUBTOTAL(9,BC15:BC22)</f>
        <v>173</v>
      </c>
      <c r="BD23" s="219">
        <f>IF(ISNUMBER(BA23/AZ23),BA23/AZ23," - ")</f>
        <v>1</v>
      </c>
      <c r="BE23" s="220">
        <f>IF(ISNUMBER(BB23/BA23),BB23/BA23, " - ")</f>
        <v>0.2602168473728107</v>
      </c>
      <c r="BF23" s="220">
        <f>IF(ISNUMBER(BC23/BA23),BC23/BA23, " - ")</f>
        <v>0.14428690575479566</v>
      </c>
      <c r="BG23" s="221">
        <f>IF(ISNUMBER((AY23+AZ23)/BA23),(AY23+AZ23)/BA23," - ")</f>
        <v>1.238532110091743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773</v>
      </c>
      <c r="J31" s="144">
        <f t="shared" si="36"/>
        <v>2253</v>
      </c>
      <c r="K31" s="144">
        <f t="shared" si="36"/>
        <v>2137</v>
      </c>
      <c r="L31" s="144">
        <f t="shared" si="36"/>
        <v>917</v>
      </c>
      <c r="M31" s="144">
        <f t="shared" si="36"/>
        <v>423</v>
      </c>
      <c r="N31" s="144">
        <f t="shared" si="36"/>
        <v>1157</v>
      </c>
      <c r="O31" s="144">
        <f t="shared" si="36"/>
        <v>421</v>
      </c>
      <c r="P31" s="144">
        <f t="shared" si="36"/>
        <v>306</v>
      </c>
      <c r="Q31" s="144">
        <f t="shared" si="36"/>
        <v>224</v>
      </c>
      <c r="R31" s="144">
        <f t="shared" si="36"/>
        <v>1188</v>
      </c>
      <c r="S31" s="144">
        <f t="shared" si="36"/>
        <v>787</v>
      </c>
      <c r="T31" s="144">
        <f t="shared" si="36"/>
        <v>2075</v>
      </c>
      <c r="U31" s="144">
        <f t="shared" si="36"/>
        <v>2115</v>
      </c>
      <c r="V31" s="144">
        <f t="shared" si="36"/>
        <v>773</v>
      </c>
      <c r="W31" s="144">
        <f t="shared" si="36"/>
        <v>393</v>
      </c>
      <c r="X31" s="144">
        <f t="shared" si="36"/>
        <v>1162</v>
      </c>
      <c r="Y31" s="144">
        <f t="shared" si="36"/>
        <v>22</v>
      </c>
      <c r="Z31" s="144">
        <f t="shared" si="36"/>
        <v>70</v>
      </c>
      <c r="AA31" s="144">
        <f t="shared" si="36"/>
        <v>68</v>
      </c>
      <c r="AB31" s="144">
        <f t="shared" si="36"/>
        <v>24</v>
      </c>
      <c r="AC31" s="144">
        <f t="shared" si="36"/>
        <v>0</v>
      </c>
      <c r="AD31" s="144">
        <f t="shared" si="36"/>
        <v>0</v>
      </c>
      <c r="AE31" s="144">
        <f t="shared" si="36"/>
        <v>0</v>
      </c>
      <c r="AF31" s="144">
        <f t="shared" si="36"/>
        <v>0</v>
      </c>
      <c r="AG31" s="144">
        <f t="shared" si="36"/>
        <v>28</v>
      </c>
      <c r="AH31" s="144">
        <f t="shared" si="36"/>
        <v>60</v>
      </c>
      <c r="AI31" s="144">
        <f t="shared" si="36"/>
        <v>66</v>
      </c>
      <c r="AJ31" s="144">
        <f t="shared" si="36"/>
        <v>22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815</v>
      </c>
      <c r="AZ31" s="144">
        <f>SUBTOTAL(9,AZ9:AZ30)</f>
        <v>2135</v>
      </c>
      <c r="BA31" s="144">
        <f>SUBTOTAL(9,BA9:BA30)</f>
        <v>2181</v>
      </c>
      <c r="BB31" s="144">
        <f>SUBTOTAL(9,BB9:BB30)</f>
        <v>795</v>
      </c>
      <c r="BC31" s="145">
        <f>SUBTOTAL(9,BC9:BC30)</f>
        <v>597</v>
      </c>
      <c r="BD31" s="227">
        <f>IF(ISNUMBER(BA31/AZ31),BA31/AZ31," - ")</f>
        <v>1.0215456674473067</v>
      </c>
      <c r="BE31" s="224">
        <f>IF(ISNUMBER(BB31/BA31),BB31/BA31, " - ")</f>
        <v>0.36451169188445665</v>
      </c>
      <c r="BF31" s="224">
        <f>IF(ISNUMBER(BC31/BA31),BC31/BA31, " - ")</f>
        <v>0.27372764786795051</v>
      </c>
      <c r="BG31" s="145">
        <f>IF(ISNUMBER((AY31+AZ31)/BA31),(AY31+AZ31)/BA31," - ")</f>
        <v>1.3525905547913801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2vSpdh/zcaG7YLgkx5mG4KrBMnUHHS7X9ao9VtJDMjXab/ju1fbTEdf+FhEJ/3M2E8WybuhM462NCVJ2K+sGg==" saltValue="chJgTiASqxn8Nf6o2YUO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Js1xfkhtMRvcPx9ARsxcNHqYrGfz1swplw2hF2GinT7SpsbO4V6Jks6BPcmuUPiiAa9C5XZHDBTnocytZtWA==" saltValue="6Dp3D7Gx6k7qXp3GCz9j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DAIMIEL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1.2222222222222221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239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1121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211</v>
      </c>
      <c r="BD12" s="693">
        <f>IF(ISNUMBER(Datos!N12),Datos!N12," - ")</f>
        <v>393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0.86723163841807904</v>
      </c>
      <c r="BH12" s="764">
        <f>IF(ISNUMBER(((IF(J_V="SI",Datos!L12/Datos!K12,(Datos!L12+Datos!AB12)/(Datos!K12+Datos!AA12)))*11)/factor_trimestre),((IF(J_V="SI",Datos!L12/Datos!K12,(Datos!L12+Datos!AB12)/(Datos!K12+Datos!AA12)))*11)/factor_trimestre," - ")</f>
        <v>7.4049945711183494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5.9546313799621928E-2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241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177</v>
      </c>
      <c r="AD14" s="1198">
        <f t="shared" si="2"/>
        <v>0</v>
      </c>
      <c r="AE14" s="1198">
        <f t="shared" si="2"/>
        <v>0</v>
      </c>
      <c r="AF14" s="1198">
        <f t="shared" si="2"/>
        <v>1</v>
      </c>
      <c r="AG14" s="1198">
        <f t="shared" si="2"/>
        <v>0</v>
      </c>
      <c r="AH14" s="1198">
        <f t="shared" si="2"/>
        <v>24</v>
      </c>
      <c r="AI14" s="1198">
        <f t="shared" si="2"/>
        <v>0</v>
      </c>
      <c r="AJ14" s="1198">
        <f t="shared" si="2"/>
        <v>0</v>
      </c>
      <c r="AK14" s="1198">
        <f t="shared" si="2"/>
        <v>0</v>
      </c>
      <c r="AL14" s="1198">
        <f t="shared" si="2"/>
        <v>0</v>
      </c>
      <c r="AM14" s="1198">
        <f t="shared" si="2"/>
        <v>1123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214</v>
      </c>
      <c r="BD14" s="1198">
        <f t="shared" si="2"/>
        <v>394</v>
      </c>
      <c r="BE14" s="1198">
        <f t="shared" si="2"/>
        <v>0</v>
      </c>
      <c r="BF14" s="1198">
        <f t="shared" si="2"/>
        <v>0</v>
      </c>
      <c r="BG14" s="1198">
        <f>IF(ISNUMBER(Datos!K14/Datos!J14),Datos!K14/Datos!J14," - ")</f>
        <v>0.86372745490981961</v>
      </c>
      <c r="BH14" s="1202">
        <f>IF(ISNUMBER(((Datos!L14/Datos!K14)*11)/factor_trimestre),((Datos!L14/Datos!K14)*11)/factor_trimestre," - ")</f>
        <v>7.6183294663573085</v>
      </c>
      <c r="BI14" s="1198">
        <f>IF(ISNUMBER('Resol  Asuntos'!D14/NºAsuntos!G14),'Resol  Asuntos'!D14/NºAsuntos!G14," - ")</f>
        <v>0.23010752688172043</v>
      </c>
      <c r="BJ14" s="1198" t="str">
        <f>IF(ISNUMBER(Datos!CI14/Datos!CJ14),Datos!CI14/Datos!CJ14," - ")</f>
        <v xml:space="preserve"> - </v>
      </c>
      <c r="BK14" s="1198">
        <f>SUBTOTAL(9,BK8:BK13)</f>
        <v>0</v>
      </c>
      <c r="BL14" s="1198">
        <f>IF(ISNUMBER((I14-AB14+L14)/(F14)),(I14-AB14+L14)/(F14)," - ")</f>
        <v>-2.25</v>
      </c>
      <c r="BM14" s="1203">
        <f>SUBTOTAL(9,BM9:BM13)</f>
        <v>1.0595463137996219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330</v>
      </c>
      <c r="G17" s="743">
        <f>IF(ISNUMBER(IF(D_I="SI",Datos!I17,Datos!I17+Datos!AC17)),IF(D_I="SI",Datos!I17,Datos!I17+Datos!AC17)," - ")</f>
        <v>303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1179</v>
      </c>
      <c r="AC17" s="240">
        <f>IF(ISNUMBER(Datos!Q17),Datos!Q17," - ")</f>
        <v>47</v>
      </c>
      <c r="AD17" s="374"/>
      <c r="AE17" s="562"/>
      <c r="AF17" s="741">
        <f>IF(ISNUMBER(IF(D_I="SI",Datos!L17,Datos!L17+Datos!AF17)),IF(D_I="SI",Datos!L17,Datos!L17+Datos!AF17)," - ")</f>
        <v>313</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198</v>
      </c>
      <c r="BD17" s="243">
        <f>IF(ISNUMBER(Datos!N17),Datos!N17," - ")</f>
        <v>700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1.0146299483648882</v>
      </c>
      <c r="BH17" s="764">
        <f>IF(ISNUMBER(((IF(D_I="SI",Datos!L17/Datos!K17,(Datos!L17+Datos!AF17)/(Datos!K17+Datos!AE17)))*11)/factor_trimestre),((IF(D_I="SI",Datos!L17/Datos!K17,(Datos!L17+Datos!AF17)/(Datos!K17+Datos!AE17)))*11)/factor_trimestre," - ")</f>
        <v>2.9202714164546224</v>
      </c>
      <c r="BI17" s="266">
        <f>IF(ISNUMBER('Resol  Asuntos'!D17/NºAsuntos!G17),'Resol  Asuntos'!D17/NºAsuntos!G17," - ")</f>
        <v>0.16793893129770993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1.032258064516129</v>
      </c>
      <c r="BH18" s="764">
        <f>IF(ISNUMBER(((IF(D_I="SI",Datos!L18/Datos!K18,(Datos!L18+Datos!AF18)/(Datos!K18+Datos!AE18)))*11)/factor_trimestre),((IF(D_I="SI",Datos!L18/Datos!K18,(Datos!L18+Datos!AF18)/(Datos!K18+Datos!AE18)))*11)/factor_trimestre," - ")</f>
        <v>0.80208333333333337</v>
      </c>
      <c r="BI18" s="763">
        <f>IF(ISNUMBER('Resol  Asuntos'!D18/NºAsuntos!G18),'Resol  Asuntos'!D18/NºAsuntos!G18," - ")</f>
        <v>0.11458333333333333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330</v>
      </c>
      <c r="G23" s="1197">
        <f>SUBTOTAL(9,G16:G22)</f>
        <v>312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1275</v>
      </c>
      <c r="AC23" s="1198">
        <f t="shared" si="5"/>
        <v>47</v>
      </c>
      <c r="AD23" s="1198">
        <f t="shared" si="5"/>
        <v>0</v>
      </c>
      <c r="AE23" s="1198">
        <f t="shared" si="5"/>
        <v>0</v>
      </c>
      <c r="AF23" s="1198">
        <f t="shared" si="5"/>
        <v>320</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209</v>
      </c>
      <c r="BD23" s="1198">
        <f t="shared" si="5"/>
        <v>763</v>
      </c>
      <c r="BE23" s="1198">
        <f t="shared" si="5"/>
        <v>0</v>
      </c>
      <c r="BF23" s="1198">
        <f t="shared" si="5"/>
        <v>0</v>
      </c>
      <c r="BG23" s="1198">
        <f>IF(ISNUMBER(Datos!K23/Datos!J23),Datos!K23/Datos!J23," - ")</f>
        <v>1.0159362549800797</v>
      </c>
      <c r="BH23" s="1202">
        <f>IF(ISNUMBER(((Datos!L23/Datos!K23)*11)/factor_trimestre),((Datos!L23/Datos!K23)*11)/factor_trimestre," - ")</f>
        <v>2.7607843137254902</v>
      </c>
      <c r="BI23" s="1198">
        <f>SUBTOTAL(9,BI16:BI22)</f>
        <v>0.28252226463104324</v>
      </c>
      <c r="BJ23" s="1198">
        <f>SUBTOTAL(9,BJ16:BJ22)</f>
        <v>0</v>
      </c>
      <c r="BK23" s="1198">
        <f>SUBTOTAL(9,BK16:BK22)</f>
        <v>0</v>
      </c>
      <c r="BL23" s="1198">
        <f>IF(ISNUMBER((I23-AB23+L23)/(F23)),(I23-AB23+L23)/(F23)," - ")</f>
        <v>-3.8636363636363638</v>
      </c>
      <c r="BM23" s="1205">
        <f>IF(ISNUMBER((Datos!P23-Datos!Q23)/(Datos!R23-Datos!P23+Datos!Q23)),(Datos!P23-Datos!Q23)/(Datos!R23-Datos!P23+Datos!Q23)," - ")</f>
        <v>0.38297872340425532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334</v>
      </c>
      <c r="G31" s="1117">
        <f t="shared" si="18"/>
        <v>316</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306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1284</v>
      </c>
      <c r="AC31" s="1118">
        <f t="shared" si="19"/>
        <v>224</v>
      </c>
      <c r="AD31" s="1118">
        <f t="shared" si="19"/>
        <v>0</v>
      </c>
      <c r="AE31" s="1118">
        <f t="shared" si="19"/>
        <v>0</v>
      </c>
      <c r="AF31" s="1125">
        <f t="shared" si="19"/>
        <v>321</v>
      </c>
      <c r="AG31" s="1125">
        <f t="shared" si="19"/>
        <v>0</v>
      </c>
      <c r="AH31" s="1125">
        <f t="shared" si="19"/>
        <v>24</v>
      </c>
      <c r="AI31" s="1125">
        <f t="shared" si="19"/>
        <v>0</v>
      </c>
      <c r="AJ31" s="1118">
        <f t="shared" si="19"/>
        <v>0</v>
      </c>
      <c r="AK31" s="1125">
        <f t="shared" si="19"/>
        <v>0</v>
      </c>
      <c r="AL31" s="1125">
        <f t="shared" si="19"/>
        <v>0</v>
      </c>
      <c r="AM31" s="1125">
        <f t="shared" si="19"/>
        <v>1188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423</v>
      </c>
      <c r="BD31" s="1117">
        <f t="shared" si="19"/>
        <v>1157</v>
      </c>
      <c r="BE31" s="1117">
        <f t="shared" si="19"/>
        <v>0</v>
      </c>
      <c r="BF31" s="1127">
        <f t="shared" si="19"/>
        <v>0</v>
      </c>
      <c r="BG31" s="1223">
        <f>IF(ISNUMBER(Datos!K31/Datos!J31),Datos!K31/Datos!J31," - ")</f>
        <v>0.94851309365290726</v>
      </c>
      <c r="BH31" s="1223">
        <f>IF(ISNUMBER(((Datos!L31/Datos!K31)*11)/factor_trimestre),((Datos!L31/Datos!K31)*11)/factor_trimestre," - ")</f>
        <v>4.720168460458587</v>
      </c>
      <c r="BI31" s="1103">
        <f>IF(ISNUMBER(Datos!J31/Datos!I31),Datos!J31/Datos!I31," - ")</f>
        <v>2.9146183699870636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-3.8443113772455089</v>
      </c>
      <c r="BM31" s="1188">
        <f>IF(ISNUMBER((Datos!P31-Datos!Q31+R31)/(Datos!R31-Datos!P31+Datos!Q31-R31)),(Datos!P31-Datos!Q31+R31)/(Datos!R31-Datos!P31+Datos!Q31-R31)," - ")</f>
        <v>7.4141048824593131E-2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169.38791771158492</v>
      </c>
      <c r="G33" s="674">
        <f>IF(ISNUMBER(STDEV(G8:G30)),STDEV(G8:G30),"-")</f>
        <v>148.43934146727443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589.20212394147302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109.45808069106378</v>
      </c>
      <c r="BD33" s="673"/>
      <c r="BE33" s="673">
        <f>IF(ISNUMBER(STDEV(BE8:BE30)),STDEV(BE8:BE30),"-")</f>
        <v>0</v>
      </c>
      <c r="BF33" s="678">
        <f>IF(ISNUMBER(STDEV(BF8:BF30)),STDEV(BF8:BF30),"-")</f>
        <v>0</v>
      </c>
      <c r="BG33" s="1052">
        <f>IF(ISNUMBER(STDEV(BG8:BG30)),STDEV(BG8:BG30),"-")</f>
        <v>0.23380395612657867</v>
      </c>
      <c r="BH33" s="1058">
        <f>IF(ISNUMBER(STDEV(BH8:BH30)),STDEV(BH8:BH30),"-")</f>
        <v>3.0020363880577077</v>
      </c>
      <c r="BI33" s="273">
        <f>IF(ISNUMBER(STDEV(BI8:BI30)),STDEV(BI8:BI30),"-")</f>
        <v>7.3108209219026041E-2</v>
      </c>
      <c r="BJ33" s="244" t="str">
        <f>IF(ISNUMBER(BL33/BM33),BL33/BM33," - ")</f>
        <v xml:space="preserve"> - </v>
      </c>
      <c r="BK33" s="709"/>
      <c r="BL33" s="681">
        <f>IF(ISNUMBER(STDEV(BL8:BL30)),STDEV(BL8:BL30),"-")</f>
        <v>1.141013215096476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B449ugo+ua5JFGLbyluLxGf539CGsOjgP9X+o3wFrrr02jUwsLdhlyMqD1PkZoQ99eY4j2lFNgCPp/WyBwsg==" saltValue="QRzNzlPJnRz+U7Ca9iWc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DAIMIEL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1.2222222222222221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176</v>
      </c>
      <c r="AA12" s="551" t="str">
        <f>IF(ISNUMBER(IF(J_V="SI",Datos!L12,Datos!L12+Datos!AB12)-IF(Monitorios="SI",Datos!CD12,0)),
                          IF(J_V="SI",Datos!L12,Datos!L12+Datos!AB12)-IF(Monitorios="SI",Datos!CD12,0),
                          " - ")</f>
        <v xml:space="preserve"> - </v>
      </c>
      <c r="AB12" s="549"/>
      <c r="AC12" s="549"/>
      <c r="AD12" s="563"/>
      <c r="AE12" s="563">
        <f>IF(ISNUMBER(Datos!R12),Datos!R12," - ")</f>
        <v>1121</v>
      </c>
      <c r="AF12" s="693" t="str">
        <f>IF(ISNUMBER(Datos!BV12),Datos!BV12," - ")</f>
        <v xml:space="preserve"> - </v>
      </c>
      <c r="AG12" s="552" t="str">
        <f>IF(ISNUMBER(Datos!DV12),Datos!DV12," - ")</f>
        <v xml:space="preserve"> - </v>
      </c>
      <c r="AH12" s="553"/>
      <c r="AI12" s="554"/>
      <c r="AJ12" s="552">
        <f>IF(ISNUMBER(Datos!M12),Datos!M12," - ")</f>
        <v>211</v>
      </c>
      <c r="AK12" s="693">
        <f>IF(ISNUMBER(Datos!N12),Datos!N12," - ")</f>
        <v>393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7.4049945711183494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5.9546313799621928E-2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241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177</v>
      </c>
      <c r="AA14" s="1199">
        <f t="shared" si="3"/>
        <v>1</v>
      </c>
      <c r="AB14" s="1199">
        <f t="shared" si="3"/>
        <v>0</v>
      </c>
      <c r="AC14" s="1199">
        <f t="shared" si="3"/>
        <v>0</v>
      </c>
      <c r="AD14" s="1199">
        <f t="shared" si="3"/>
        <v>0</v>
      </c>
      <c r="AE14" s="1199">
        <f t="shared" si="3"/>
        <v>1123</v>
      </c>
      <c r="AF14" s="1211">
        <f t="shared" si="3"/>
        <v>0</v>
      </c>
      <c r="AG14" s="1211">
        <f t="shared" si="3"/>
        <v>0</v>
      </c>
      <c r="AH14" s="1211">
        <f t="shared" si="3"/>
        <v>0</v>
      </c>
      <c r="AI14" s="1211">
        <f t="shared" si="3"/>
        <v>0</v>
      </c>
      <c r="AJ14" s="1211">
        <f t="shared" si="3"/>
        <v>214</v>
      </c>
      <c r="AK14" s="1211">
        <f t="shared" si="3"/>
        <v>394</v>
      </c>
      <c r="AL14" s="1211">
        <f t="shared" si="3"/>
        <v>0</v>
      </c>
      <c r="AM14" s="1211">
        <f t="shared" si="3"/>
        <v>0</v>
      </c>
      <c r="AN14" s="1211">
        <f t="shared" si="3"/>
        <v>0</v>
      </c>
      <c r="AO14" s="1203">
        <f>IF(ISNUMBER(((NºAsuntos!I14/NºAsuntos!G14)*11)/factor_trimestre),((NºAsuntos!I14/NºAsuntos!G14)*11)/factor_trimestre," - ")</f>
        <v>7.3451612903225802</v>
      </c>
      <c r="AP14" s="1213" t="str">
        <f>IF(ISNUMBER(Datos!CI14/Datos!CJ14),Datos!CI14/Datos!CJ14," - ")</f>
        <v xml:space="preserve"> - </v>
      </c>
      <c r="AQ14" s="1236">
        <f t="shared" ref="AQ14:AV14" si="4">SUBTOTAL(9,AQ9:AQ13)</f>
        <v>0</v>
      </c>
      <c r="AR14" s="1236">
        <f t="shared" si="4"/>
        <v>1.0595463137996219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330</v>
      </c>
      <c r="G17" s="552">
        <f>IF(ISNUMBER(IF(D_I="SI",Datos!I17,Datos!I17+Datos!AC17)),IF(D_I="SI",Datos!I17,Datos!I17+Datos!AC17)," - ")</f>
        <v>303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1179</v>
      </c>
      <c r="Z17" s="805">
        <f>IF(ISNUMBER(Datos!Q17),Datos!Q17," - ")</f>
        <v>47</v>
      </c>
      <c r="AA17" s="551">
        <f>IF(ISNUMBER(IF(D_I="SI",Datos!L17,Datos!L17+Datos!AF17)),IF(D_I="SI",Datos!L17,Datos!L17+Datos!AF17)," - ")</f>
        <v>313</v>
      </c>
      <c r="AB17" s="549"/>
      <c r="AC17" s="549"/>
      <c r="AD17" s="563"/>
      <c r="AE17" s="563">
        <f>IF(ISNUMBER(Datos!R17),Datos!R17," - ")</f>
        <v>65</v>
      </c>
      <c r="AF17" s="693" t="str">
        <f>IF(ISNUMBER(Datos!BV17),Datos!BV17," - ")</f>
        <v xml:space="preserve"> - </v>
      </c>
      <c r="AG17" s="552"/>
      <c r="AH17" s="553"/>
      <c r="AI17" s="554"/>
      <c r="AJ17" s="552">
        <f>IF(ISNUMBER(Datos!M17),Datos!M17," - ")</f>
        <v>198</v>
      </c>
      <c r="AK17" s="693">
        <f>IF(ISNUMBER(Datos!N17),Datos!N17," - ")</f>
        <v>700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2.9202714164546224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0.80208333333333337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330</v>
      </c>
      <c r="G23" s="1197">
        <f>SUBTOTAL(9,G16:G22)</f>
        <v>312</v>
      </c>
      <c r="H23" s="1240">
        <f>SUBTOTAL(9,H16:H22)</f>
        <v>0</v>
      </c>
      <c r="I23" s="1217">
        <f>SUBTOTAL(9,I16:I22)</f>
        <v>0</v>
      </c>
      <c r="J23" s="1164">
        <f>SUBTOTAL(9,J15:J22)</f>
        <v>0</v>
      </c>
      <c r="K23" s="1240">
        <f t="shared" ref="K23:S23" si="5">SUBTOTAL(9,K16:K22)</f>
        <v>0</v>
      </c>
      <c r="L23" s="1240">
        <f t="shared" si="5"/>
        <v>0</v>
      </c>
      <c r="M23" s="1240">
        <f t="shared" si="5"/>
        <v>0</v>
      </c>
      <c r="N23" s="1240">
        <f t="shared" si="5"/>
        <v>65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1275</v>
      </c>
      <c r="Z23" s="1240">
        <f t="shared" si="6"/>
        <v>47</v>
      </c>
      <c r="AA23" s="1240">
        <f t="shared" si="6"/>
        <v>320</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209</v>
      </c>
      <c r="AK23" s="1240">
        <f t="shared" si="6"/>
        <v>763</v>
      </c>
      <c r="AL23" s="1240">
        <f t="shared" si="6"/>
        <v>0</v>
      </c>
      <c r="AM23" s="1240">
        <f t="shared" si="6"/>
        <v>0</v>
      </c>
      <c r="AN23" s="1240">
        <f t="shared" si="6"/>
        <v>0</v>
      </c>
      <c r="AO23" s="1242">
        <f>IF(ISNUMBER(((NºAsuntos!I23/NºAsuntos!G23)*11)/factor_trimestre),((NºAsuntos!I23/NºAsuntos!G23)*11)/factor_trimestre," - ")</f>
        <v>2.7607843137254902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334</v>
      </c>
      <c r="G31" s="1117">
        <f t="shared" si="12"/>
        <v>316</v>
      </c>
      <c r="H31" s="1118">
        <f t="shared" si="12"/>
        <v>0</v>
      </c>
      <c r="I31" s="1117">
        <f t="shared" si="12"/>
        <v>0</v>
      </c>
      <c r="J31" s="1119">
        <f t="shared" si="12"/>
        <v>0</v>
      </c>
      <c r="K31" s="1117">
        <f t="shared" si="12"/>
        <v>0</v>
      </c>
      <c r="L31" s="1120">
        <f t="shared" si="12"/>
        <v>0</v>
      </c>
      <c r="M31" s="1117">
        <f t="shared" si="12"/>
        <v>0</v>
      </c>
      <c r="N31" s="1118">
        <f t="shared" si="12"/>
        <v>306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1284</v>
      </c>
      <c r="Z31" s="1124">
        <f t="shared" si="13"/>
        <v>224</v>
      </c>
      <c r="AA31" s="1125">
        <f t="shared" si="13"/>
        <v>321</v>
      </c>
      <c r="AB31" s="1125">
        <f t="shared" si="13"/>
        <v>0</v>
      </c>
      <c r="AC31" s="1125">
        <f t="shared" si="13"/>
        <v>0</v>
      </c>
      <c r="AD31" s="1126">
        <f t="shared" si="13"/>
        <v>0</v>
      </c>
      <c r="AE31" s="1126">
        <f t="shared" si="13"/>
        <v>1188</v>
      </c>
      <c r="AF31" s="1127">
        <f t="shared" si="13"/>
        <v>0</v>
      </c>
      <c r="AG31" s="1128">
        <f t="shared" si="13"/>
        <v>0</v>
      </c>
      <c r="AH31" s="1129">
        <f t="shared" si="13"/>
        <v>0</v>
      </c>
      <c r="AI31" s="1127">
        <f t="shared" si="13"/>
        <v>0</v>
      </c>
      <c r="AJ31" s="1117">
        <f t="shared" si="13"/>
        <v>423</v>
      </c>
      <c r="AK31" s="1117">
        <f t="shared" si="13"/>
        <v>1157</v>
      </c>
      <c r="AL31" s="1117">
        <f t="shared" si="13"/>
        <v>0</v>
      </c>
      <c r="AM31" s="1130">
        <f t="shared" si="13"/>
        <v>0</v>
      </c>
      <c r="AN31" s="1120">
        <f>IF(ISNUMBER(Datos!K31/Datos!J31),Datos!K31/Datos!J31," - ")</f>
        <v>0.94851309365290726</v>
      </c>
      <c r="AO31" s="1120">
        <f>IF(ISNUMBER(FIND("06",Criterios!A8,1)),(IF(ISNUMBER(((Datos!R31/Datos!Q31)*11)/factor_trimestre),((Datos!R31/Datos!Q31)*11)/factor_trimestre," - ")),(IF(ISNUMBER(((Datos!L31/Datos!K31)*11)/factor_trimestre),((Datos!L31/Datos!K31)*11)/factor_trimestre," - ")))</f>
        <v>4.720168460458587</v>
      </c>
      <c r="AP31" s="1131" t="str">
        <f>IF(ISNUMBER(Datos!CI31/Datos!CJ31),Datos!CI31/Datos!CJ31," - ")</f>
        <v xml:space="preserve"> - </v>
      </c>
      <c r="AQ31" s="1131">
        <f>IF(OR(ISNUMBER(FIND("01",Criterios!A8,1)),ISNUMBER(FIND("02",Criterios!A8,1)),ISNUMBER(FIND("03",Criterios!A8,1)),ISNUMBER(FIND("04",Criterios!A8,1))),(J31-Y31+K31)/(F31-K31),(I31-Y31+K31)/(F31-K31))</f>
        <v>-3.8443113772455089</v>
      </c>
      <c r="AR31" s="1131">
        <f>IF(ISNUMBER((Datos!P31-Datos!Q31+O31)/(Datos!R31-Datos!P31+Datos!Q31-O31)),(Datos!P31-Datos!Q31+O31)/(Datos!R31-Datos!P31+Datos!Q31-O31)," - ")</f>
        <v>7.4141048824593131E-2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169.38791771158492</v>
      </c>
      <c r="G33" s="674">
        <f>IF(ISNUMBER(STDEV(G8:G30)),STDEV(G8:G30),"-")</f>
        <v>148.43934146727443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109.45808069106378</v>
      </c>
      <c r="AK33" s="276"/>
      <c r="AL33" s="276">
        <f>IF(ISNUMBER(STDEV(AL8:AL30)),STDEV(AL8:AL30),"-")</f>
        <v>0</v>
      </c>
      <c r="AM33" s="278">
        <f>IF(ISNUMBER(STDEV(AM8:AM30)),STDEV(AM8:AM30),"-")</f>
        <v>0</v>
      </c>
      <c r="AN33" s="660">
        <f>IF(ISNUMBER(STDEV(AN8:AN30)),STDEV(AN8:AN30),"-")</f>
        <v>0</v>
      </c>
      <c r="AO33" s="661">
        <f>IF(ISNUMBER(STDEV(AO8:AO30)),STDEV(AO8:AO30),"-")</f>
        <v>2.9336226953967577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zkrhSY3fvC6gCkCqusch0/4TRtX+1l4cm1eGQEwb9GuhelwGalh45nZqpaTimY0M+OZb/k2+9w80NrgTU7F7A==" saltValue="WkVK+H32RxFPe5Y9ZfO/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op/mVzZV48EO92ZukDXwRPEiTfv9cY7fcbaTPjIQQNTN0DxYg3ys9ZRdgmPrJ0qklaN0Acbvo2o8/nHuOorSQ==" saltValue="rFfV6Fhvi3wGxHSh9GLj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dOExtC1kf81HC5Zeg1ctnmM28fTElcxMsennwF8DRfOlL4CbRqENUTuh5cZhPzGKVl6xE34nRY+DoQ1AeL/g==" saltValue="ufRTiXxpWpRogG+Ebr/5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DAIMIEL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0.23010752688172043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0.1627105926601303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EMv9b38yQTWjYPZZGkzj7aqMyB7JSPt9SiP9hRu39J1Vw79m+/bgT6uSKtzm1O5sJBl3a2hKuCpJdaUQQUS/A==" saltValue="P09Mtve1B4eg+qhBP2fx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8PvI388I1THf/C0T8guBLmzYf0OwNU9PxKXIPjj/8jcfn0E3xpz0B3oKIM5/ZYaWFADWi+u93Ad0zBnKG2apg==" saltValue="ztYu1+aTvXdIAXf0vjY4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DAIMIEL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6</v>
      </c>
      <c r="F10" s="452">
        <f>IF(ISNUMBER(E10/B10),E10/B10," - ")</f>
        <v>6</v>
      </c>
      <c r="G10" s="451">
        <f>IF(ISNUMBER(Datos!K10),Datos!K10," - ")</f>
        <v>9</v>
      </c>
      <c r="H10" s="452">
        <f>IF(ISNUMBER(G10/B10),G10/B10," - ")</f>
        <v>9</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479</v>
      </c>
      <c r="D12" s="452">
        <f>IF(ISNUMBER(C12/Datos!BH12),C12/Datos!BH12," - ")</f>
        <v>239.5</v>
      </c>
      <c r="E12" s="451">
        <f>IF(ISNUMBER(IF(J_V="SI",Datos!J12,Datos!J12+Datos!Z12)),IF(J_V="SI",Datos!J12,Datos!J12+Datos!Z12)," - ")</f>
        <v>1062</v>
      </c>
      <c r="F12" s="452">
        <f>IF(ISNUMBER(E12/B12),E12/B12," - ")</f>
        <v>531</v>
      </c>
      <c r="G12" s="451">
        <f>IF(ISNUMBER(IF(J_V="SI",Datos!K12,Datos!K12+Datos!AA12)),IF(J_V="SI",Datos!K12,Datos!K12+Datos!AA12)," - ")</f>
        <v>921</v>
      </c>
      <c r="H12" s="452">
        <f>IF(ISNUMBER(G12/B12),G12/B12," - ")</f>
        <v>460.5</v>
      </c>
      <c r="I12" s="451">
        <f>IF(ISNUMBER(IF(J_V="SI",Datos!L12,Datos!L12+Datos!AB12)),IF(J_V="SI",Datos!L12,Datos!L12+Datos!AB12)," - ")</f>
        <v>620</v>
      </c>
      <c r="J12" s="452">
        <f>IF(ISNUMBER(I12/B12),I12/B12," - ")</f>
        <v>310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483</v>
      </c>
      <c r="D14" s="1147" t="str">
        <f>IF(ISNUMBER(C14/Datos!BI14),C14/Datos!BI14," - ")</f>
        <v xml:space="preserve"> - </v>
      </c>
      <c r="E14" s="1146">
        <f>SUBTOTAL(9,E8:E13)</f>
        <v>1068</v>
      </c>
      <c r="F14" s="1147">
        <f>IF(ISNUMBER(E14/B14),E14/B14," - ")</f>
        <v>534</v>
      </c>
      <c r="G14" s="1146">
        <f>SUBTOTAL(9,G8:G13)</f>
        <v>930</v>
      </c>
      <c r="H14" s="1147">
        <f>IF(ISNUMBER(G14/B14),G14/B14," - ")</f>
        <v>465</v>
      </c>
      <c r="I14" s="1146">
        <f>SUBTOTAL(9,I8:I13)</f>
        <v>621</v>
      </c>
      <c r="J14" s="1147">
        <f>IF(ISNUMBER(I14/B14),I14/B14," - ")</f>
        <v>310.5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303</v>
      </c>
      <c r="D17" s="452">
        <f>IF(ISNUMBER(C17/Datos!BH17),C17/Datos!BH17," - ")</f>
        <v>151.5</v>
      </c>
      <c r="E17" s="451">
        <f>IF(ISNUMBER(IF(D_I="SI",Datos!J17,Datos!J17+Datos!AD17)),IF(D_I="SI",Datos!J17,Datos!J17+Datos!AD17)," - ")</f>
        <v>1162</v>
      </c>
      <c r="F17" s="452">
        <f>IF(ISNUMBER(E17/B17),E17/B17," - ")</f>
        <v>581</v>
      </c>
      <c r="G17" s="451">
        <f>IF(ISNUMBER(IF(D_I="SI",Datos!K17,Datos!K17+Datos!AE17)),IF(D_I="SI",Datos!K17,Datos!K17+Datos!AE17)," - ")</f>
        <v>1179</v>
      </c>
      <c r="H17" s="452">
        <f>IF(ISNUMBER(G17/B17),G17/B17," - ")</f>
        <v>589.5</v>
      </c>
      <c r="I17" s="451">
        <f>IF(ISNUMBER(IF(D_I="SI",Datos!L17,Datos!L17+Datos!AF17)),IF(D_I="SI",Datos!L17,Datos!L17+Datos!AF17)," - ")</f>
        <v>313</v>
      </c>
      <c r="J17" s="452">
        <f>IF(ISNUMBER(I17/B17),I17/B17," - ")</f>
        <v>156.5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93</v>
      </c>
      <c r="F18" s="452">
        <f>IF(ISNUMBER(E18/B18),E18/B18," - ")</f>
        <v>93</v>
      </c>
      <c r="G18" s="451">
        <f>IF(ISNUMBER(IF(D_I="SI",Datos!K18,Datos!K18+Datos!AE18)),IF(D_I="SI",Datos!K18,Datos!K18+Datos!AE18)," - ")</f>
        <v>96</v>
      </c>
      <c r="H18" s="452">
        <f>IF(ISNUMBER(G18/B18),G18/B18," - ")</f>
        <v>96</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312</v>
      </c>
      <c r="D23" s="1147" t="str">
        <f>IF(ISNUMBER(C23/Datos!BI23),C23/Datos!BI23," - ")</f>
        <v xml:space="preserve"> - </v>
      </c>
      <c r="E23" s="1146">
        <f>SUBTOTAL(9,E15:E22)</f>
        <v>1255</v>
      </c>
      <c r="F23" s="1147">
        <f>IF(ISNUMBER(E23/B23),E23/B23," - ")</f>
        <v>627.5</v>
      </c>
      <c r="G23" s="1146">
        <f>SUBTOTAL(9,G15:G22)</f>
        <v>1275</v>
      </c>
      <c r="H23" s="1147">
        <f>IF(ISNUMBER(G23/B23),G23/B23," - ")</f>
        <v>637.5</v>
      </c>
      <c r="I23" s="1146">
        <f>SUBTOTAL(9,I15:I22)</f>
        <v>320</v>
      </c>
      <c r="J23" s="1147">
        <f>IF(ISNUMBER(I23/B23),I23/B23," - ")</f>
        <v>160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795</v>
      </c>
      <c r="D31" s="1085" t="str">
        <f>IF(ISNUMBER(C31/Datos!BI31),C31/Datos!BI31," - ")</f>
        <v xml:space="preserve"> - </v>
      </c>
      <c r="E31" s="1084">
        <f>SUBTOTAL(9,E9:E30)</f>
        <v>2323</v>
      </c>
      <c r="F31" s="1085">
        <f>IF(ISNUMBER(E31/B31),E31/B31," - ")</f>
        <v>1161.5</v>
      </c>
      <c r="G31" s="1084">
        <f>SUBTOTAL(9,G9:G30)</f>
        <v>2205</v>
      </c>
      <c r="H31" s="1085">
        <f>IF(ISNUMBER(G31/B31),G31/B31," - ")</f>
        <v>1102.5</v>
      </c>
      <c r="I31" s="1084">
        <f>SUBTOTAL(9,I9:I30)</f>
        <v>941</v>
      </c>
      <c r="J31" s="1085">
        <f>IF(ISNUMBER(I31/B31),I31/B31," - ")</f>
        <v>470.5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mT3KK4xQJ1t/Q3BP7EhiccJpXR8Rnv3ZZ3uAoKfag8WhJvzS9U4miXpR3w7ajiuZvtz7fS1V2PKtToWEu7KnHQ==" saltValue="U5Hyp+QSRnChoe0WSTwj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DAIMIEL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1.2222222222222221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211</v>
      </c>
      <c r="AM12" s="914">
        <f>IF(ISNUMBER(Datos!N12+DatosP!N17),Datos!N12+DatosP!N17," - ")</f>
        <v>393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7.4049945711183494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5.9546313799621928E-2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241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176</v>
      </c>
      <c r="AE14" s="1257">
        <f t="shared" si="1"/>
        <v>0</v>
      </c>
      <c r="AF14" s="1257">
        <f t="shared" si="1"/>
        <v>1</v>
      </c>
      <c r="AG14" s="1257">
        <f t="shared" si="1"/>
        <v>0</v>
      </c>
      <c r="AH14" s="1257">
        <f t="shared" si="1"/>
        <v>1121</v>
      </c>
      <c r="AI14" s="1257">
        <f t="shared" si="1"/>
        <v>0</v>
      </c>
      <c r="AJ14" s="1257">
        <f t="shared" si="1"/>
        <v>0</v>
      </c>
      <c r="AK14" s="1257">
        <f t="shared" si="1"/>
        <v>0</v>
      </c>
      <c r="AL14" s="1257">
        <f t="shared" si="1"/>
        <v>214</v>
      </c>
      <c r="AM14" s="1257">
        <f t="shared" si="1"/>
        <v>394</v>
      </c>
      <c r="AN14" s="1257">
        <f t="shared" si="1"/>
        <v>0</v>
      </c>
      <c r="AO14" s="1257">
        <f t="shared" si="1"/>
        <v>0</v>
      </c>
      <c r="AP14" s="1262">
        <f>IF(ISNUMBER(((Datos!L14/Datos!K14)*11)/factor_trimestre),((Datos!L14/Datos!K14)*11)/factor_trimestre," - ")</f>
        <v>7.6183294663573085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-2.25</v>
      </c>
      <c r="AU14" s="1257" t="str">
        <f>IF(ISNUMBER((DatosP!#REF!-DatosP!#REF!+DatosP!#REF!)/(DatosP!#REF!+DatosP!#REF!-DatosP!#REF!-DatosP!#REF!)),(DatosP!#REF!-DatosP!#REF!+DatosP!#REF!)/(DatosP!#REF!+DatosP!#REF!-DatosP!#REF!-DatosP!#REF!)," - ")</f>
        <v xml:space="preserve"> - </v>
      </c>
      <c r="AV14" s="1263">
        <f>SUBTOTAL(9,AV9:AV13)</f>
        <v>5.9546313799621928E-2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2.7607843137254902</v>
      </c>
      <c r="AQ23" s="1262">
        <f>IF(ISNUMBER(((Datos!M23/Datos!L23)*11)/factor_trimestre),((Datos!M23/Datos!L23)*11)/factor_trimestre," - ")</f>
        <v>7.1843749999999993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0.38297872340425532</v>
      </c>
      <c r="AW23" s="1265">
        <f>IF(ISNUMBER((Datos!Q23-Datos!R23)/(Datos!S23-Datos!Q23+Datos!R23)),(Datos!Q23-Datos!R23)/(Datos!S23-Datos!Q23+Datos!R23)," - ")</f>
        <v>-5.921052631578947E-2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241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176</v>
      </c>
      <c r="AE31" s="1284">
        <f t="shared" si="9"/>
        <v>0</v>
      </c>
      <c r="AF31" s="1285">
        <f t="shared" si="9"/>
        <v>1</v>
      </c>
      <c r="AG31" s="1285">
        <f t="shared" si="9"/>
        <v>0</v>
      </c>
      <c r="AH31" s="1285">
        <f t="shared" si="9"/>
        <v>1121</v>
      </c>
      <c r="AI31" s="1285">
        <f t="shared" si="9"/>
        <v>0</v>
      </c>
      <c r="AJ31" s="1286">
        <f t="shared" si="9"/>
        <v>0</v>
      </c>
      <c r="AK31" s="1286">
        <f t="shared" si="9"/>
        <v>0</v>
      </c>
      <c r="AL31" s="1278">
        <f t="shared" si="9"/>
        <v>214</v>
      </c>
      <c r="AM31" s="1278">
        <f t="shared" si="9"/>
        <v>394</v>
      </c>
      <c r="AN31" s="1278">
        <f t="shared" si="9"/>
        <v>0</v>
      </c>
      <c r="AO31" s="1278">
        <f t="shared" si="9"/>
        <v>0</v>
      </c>
      <c r="AP31" s="1278">
        <f>IF(ISNUMBER(((Datos!L31/Datos!K31)*11)/factor_trimestre),((Datos!L31/Datos!K31)*11)/factor_trimestre," - ")</f>
        <v>4.720168460458587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7.4141048824593131E-2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109.35751765044169</v>
      </c>
      <c r="AM33" s="1006"/>
      <c r="AN33" s="1006">
        <f>IF(ISNUMBER(STDEV(AN8:AN30)),STDEV(AN8:AN30),"-")</f>
        <v>0</v>
      </c>
      <c r="AO33" s="1012">
        <f>IF(ISNUMBER(STDEV(AO8:AO30)),STDEV(AO8:AO30),"-")</f>
        <v>0</v>
      </c>
      <c r="AP33" s="1065">
        <f>IF(ISNUMBER(STDEV(AP8:AP30)),STDEV(AP8:AP30),"-")</f>
        <v>3.2495381813987469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B9vn3mQnXkhWzXEkcxTUOB28IDCW3/XdR0MSgg/8Vsq/d9aowL30+15ImWSLSODHyxDqL+X7drR7nG0Pze2zg==" saltValue="zK/X8cFlp4bLKM1xw0lf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DAIMIEL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y0s8xI3pHt1XKtg6RmjPptlKLJHwI2nNromN3SvgYOCnY6Fx3xuDLkHC43AvjE57+iaLPuZ67O30dSeTr2iLA==" saltValue="TkOySQxiqMpS0laARrB4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DAIMIEL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211</v>
      </c>
      <c r="E12" s="452">
        <f t="shared" si="0"/>
        <v>105.5</v>
      </c>
      <c r="F12" s="451">
        <f>IF(ISNUMBER(Datos!N12),Datos!N12," - ")</f>
        <v>393</v>
      </c>
      <c r="G12" s="452">
        <f t="shared" si="1"/>
        <v>196.5</v>
      </c>
      <c r="H12" s="451">
        <f>IF(ISNUMBER(Datos!O12),Datos!O12," - ")</f>
        <v>384</v>
      </c>
      <c r="I12" s="452">
        <f t="shared" si="2"/>
        <v>192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214</v>
      </c>
      <c r="E14" s="1147">
        <f t="shared" si="0"/>
        <v>71.333333333333329</v>
      </c>
      <c r="F14" s="1146">
        <f>SUBTOTAL(9,F9:F13)</f>
        <v>394</v>
      </c>
      <c r="G14" s="1147">
        <f t="shared" si="1"/>
        <v>131.33333333333334</v>
      </c>
      <c r="H14" s="1146">
        <f>SUBTOTAL(9,H9:H13)</f>
        <v>386</v>
      </c>
      <c r="I14" s="1147">
        <f>IF(ISNUMBER(H14/B14),H14/B14," - ")</f>
        <v>128.66666666666666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198</v>
      </c>
      <c r="E17" s="452">
        <f t="shared" si="3"/>
        <v>99</v>
      </c>
      <c r="F17" s="451">
        <f>IF(ISNUMBER(Datos!N17),Datos!N17," - ")</f>
        <v>700</v>
      </c>
      <c r="G17" s="452">
        <f t="shared" si="4"/>
        <v>350</v>
      </c>
      <c r="H17" s="451">
        <f>IF(ISNUMBER(Datos!O17),Datos!O17," - ")</f>
        <v>35</v>
      </c>
      <c r="I17" s="452">
        <f t="shared" si="5"/>
        <v>17.5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63</v>
      </c>
      <c r="G18" s="452">
        <f>IF(ISNUMBER(F18/B18),F18/B18," - ")</f>
        <v>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209</v>
      </c>
      <c r="E23" s="1147">
        <f t="shared" si="3"/>
        <v>69.666666666666671</v>
      </c>
      <c r="F23" s="1146">
        <f>SUBTOTAL(9,F16:F22)</f>
        <v>763</v>
      </c>
      <c r="G23" s="1147">
        <f t="shared" si="4"/>
        <v>254.33333333333334</v>
      </c>
      <c r="H23" s="1146">
        <f>SUBTOTAL(9,H16:H22)</f>
        <v>35</v>
      </c>
      <c r="I23" s="1147">
        <f>IF(ISNUMBER(H23/B23),H23/B23," - ")</f>
        <v>11.666666666666666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423</v>
      </c>
      <c r="E31" s="1085">
        <f>IF(ISNUMBER(D31/B31),D31/B31," - ")</f>
        <v>211.5</v>
      </c>
      <c r="F31" s="1084">
        <f>SUBTOTAL(9,F8:F30)</f>
        <v>1157</v>
      </c>
      <c r="G31" s="1085">
        <f>IF(ISNUMBER(F31/B31),F31/B31," - ")</f>
        <v>578.5</v>
      </c>
      <c r="H31" s="1084">
        <f>SUBTOTAL(9,H8:H30)</f>
        <v>421</v>
      </c>
      <c r="I31" s="1085">
        <f>IF(ISNUMBER(H31/B31),H31/B31," - ")</f>
        <v>210.5</v>
      </c>
    </row>
    <row r="34" spans="1:1">
      <c r="A34" s="439" t="str">
        <f>Criterios!A4</f>
        <v>Fecha Informe: 14 abr. 2023</v>
      </c>
    </row>
    <row r="39" spans="1:1">
      <c r="A39" s="462"/>
    </row>
  </sheetData>
  <sheetProtection algorithmName="SHA-512" hashValue="Zn3M3msC8y5O7oZzYRlT2tXepaXQhDCOUG6ptHqpMuxpjMrh4pYCOkhrO9ckybL9K0NreuhxvJCC0GnaScqmww==" saltValue="AZkOnqzpgVIKAuRAmkEd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DAIMIEL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239</v>
      </c>
      <c r="C12" s="489">
        <f>IF(ISNUMBER(Datos!Q12),Datos!Q12," - ")</f>
        <v>176</v>
      </c>
      <c r="D12" s="456">
        <f>IF(ISNUMBER(Datos!R12),Datos!R12," - ")</f>
        <v>1121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241</v>
      </c>
      <c r="C14" s="1150">
        <f>SUBTOTAL(9,C9:C13)</f>
        <v>177</v>
      </c>
      <c r="D14" s="1148">
        <f>SUBTOTAL(9,D9:D13)</f>
        <v>1123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65</v>
      </c>
      <c r="C17" s="489">
        <f>IF(ISNUMBER(Datos!Q17),Datos!Q17," - ")</f>
        <v>47</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v>
      </c>
      <c r="C23" s="1150">
        <f>SUBTOTAL(9,C16:C22)</f>
        <v>47</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306</v>
      </c>
      <c r="C31" s="1089">
        <f>SUBTOTAL(9,C8:C30)</f>
        <v>224</v>
      </c>
      <c r="D31" s="1090">
        <f>SUBTOTAL(9,D8:D30)</f>
        <v>1188</v>
      </c>
    </row>
    <row r="32" spans="1:4" ht="7.5" customHeight="1"/>
    <row r="33" spans="1:1" ht="6" customHeight="1"/>
    <row r="34" spans="1:1">
      <c r="A34" s="439" t="str">
        <f>Criterios!A4</f>
        <v>Fecha Informe: 14 abr. 2023</v>
      </c>
    </row>
    <row r="39" spans="1:1">
      <c r="A39" s="462"/>
    </row>
  </sheetData>
  <sheetProtection algorithmName="SHA-512" hashValue="S9uZXTf9PVko8f76xl64HxfT/4u6GSMQvNz4YkK79Xg4ho8u1vESjkbvwJ5qaueenBXw+0nU+tB13xCjUr9Q/A==" saltValue="BoEM6ICIoUQ7s5Ko5Qmb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DAIMIEL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-0.14285714285714285</v>
      </c>
      <c r="D10" s="515">
        <f>IF(ISNUMBER((Datos!K10-Datos!U10)/Datos!U10),(Datos!K10-Datos!U10)/Datos!U10," - ")</f>
        <v>-0.18181818181818182</v>
      </c>
      <c r="E10" s="515">
        <f>IF(ISNUMBER((Datos!L10-Datos!V10)/Datos!V10),(Datos!L10-Datos!V10)/Datos!V10," - ")</f>
        <v>-0.75</v>
      </c>
      <c r="F10" s="515">
        <f>IF(ISNUMBER((Datos!M10-Datos!W10)/Datos!W10),(Datos!M10-Datos!W10)/Datos!W10," - ")</f>
        <v>-0.5714285714285714</v>
      </c>
      <c r="G10" s="516">
        <f>IF(ISNUMBER((Datos!N10-Datos!X10)/Datos!X10),(Datos!N10-Datos!X10)/Datos!X10," - ")</f>
        <v>-0.66666666666666663</v>
      </c>
      <c r="H10" s="514">
        <f>IF(ISNUMBER(((NºAsuntos!G10/NºAsuntos!E10)-Datos!BD10)/Datos!BD10),((NºAsuntos!G10/NºAsuntos!E10)-Datos!BD10)/Datos!BD10," - ")</f>
        <v>-4.5454545454545435E-2</v>
      </c>
      <c r="I10" s="515">
        <f>IF(ISNUMBER(((NºAsuntos!I10/NºAsuntos!G10)-Datos!BE10)/Datos!BE10),((NºAsuntos!I10/NºAsuntos!G10)-Datos!BE10)/Datos!BE10," - ")</f>
        <v>-0.69444444444444442</v>
      </c>
      <c r="J10" s="521">
        <f>IF(ISNUMBER((('Resol  Asuntos'!D10/NºAsuntos!G10)-Datos!BF10)/Datos!BF10),(('Resol  Asuntos'!D10/NºAsuntos!G10)-Datos!BF10)/Datos!BF10," - ")</f>
        <v>-0.47619047619047622</v>
      </c>
      <c r="K10" s="522">
        <f>IF(ISNUMBER((((NºAsuntos!C10+NºAsuntos!E10)/NºAsuntos!G10)-Datos!BG10)/Datos!BG10),(((NºAsuntos!C10+NºAsuntos!E10)/NºAsuntos!G10)-Datos!BG10)/Datos!BG10," - ")</f>
        <v>-0.18518518518518509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-8.0614203454894437E-2</v>
      </c>
      <c r="C12" s="515">
        <f>IF(ISNUMBER(
   IF(J_V="SI",(Datos!J12-Datos!T12)/Datos!T12,(Datos!J12+Datos!Z12-(Datos!T12+Datos!AH12))/(Datos!T12+Datos!AH12))
     ),IF(J_V="SI",(Datos!J12-Datos!T12)/Datos!T12,(Datos!J12+Datos!Z12-(Datos!T12+Datos!AH12))/(Datos!T12+Datos!AH12))," - ")</f>
        <v>0.14316469321851452</v>
      </c>
      <c r="D12" s="515">
        <f>IF(ISNUMBER(
   IF(J_V="SI",(Datos!K12-Datos!U12)/Datos!U12,(Datos!K12+Datos!AA12-(Datos!U12+Datos!AI12))/(Datos!U12+Datos!AI12))
     ),IF(J_V="SI",(Datos!K12-Datos!U12)/Datos!U12,(Datos!K12+Datos!AA12-(Datos!U12+Datos!AI12))/(Datos!U12+Datos!AI12))," - ")</f>
        <v>-5.1493305870236872E-2</v>
      </c>
      <c r="E12" s="515">
        <f>IF(ISNUMBER(
   IF(J_V="SI",(Datos!L12-Datos!V12)/Datos!V12,(Datos!L12+Datos!AB12-(Datos!V12+Datos!AJ12))/(Datos!V12+Datos!AJ12))
     ),IF(J_V="SI",(Datos!L12-Datos!V12)/Datos!V12,(Datos!L12+Datos!AB12-(Datos!V12+Datos!AJ12))/(Datos!V12+Datos!AJ12))," - ")</f>
        <v>0.29436325678496866</v>
      </c>
      <c r="F12" s="515">
        <f>IF(ISNUMBER((Datos!M12-Datos!W12)/Datos!W12),(Datos!M12-Datos!W12)/Datos!W12," - ")</f>
        <v>-9.3896713615023476E-3</v>
      </c>
      <c r="G12" s="516">
        <f>IF(ISNUMBER((Datos!N12-Datos!X12)/Datos!X12),(Datos!N12-Datos!X12)/Datos!X12," - ")</f>
        <v>-5.7553956834532377E-2</v>
      </c>
      <c r="H12" s="514">
        <f>IF(ISNUMBER(((NºAsuntos!G12/NºAsuntos!E12)-Datos!BD12)/Datos!BD12),((NºAsuntos!G12/NºAsuntos!E12)-Datos!BD12)/Datos!BD12," - ")</f>
        <v>-0.17027992575654438</v>
      </c>
      <c r="I12" s="515">
        <f>IF(ISNUMBER(((NºAsuntos!I12/NºAsuntos!G12)-Datos!BE12)/Datos!BE12),((NºAsuntos!I12/NºAsuntos!G12)-Datos!BE12)/Datos!BE12," - ")</f>
        <v>0.36463270612182896</v>
      </c>
      <c r="J12" s="521">
        <f>IF(ISNUMBER((('Resol  Asuntos'!D12/NºAsuntos!G12)-Datos!BF12)/Datos!BF12),(('Resol  Asuntos'!D12/NºAsuntos!G12)-Datos!BF12)/Datos!BF12," - ")</f>
        <v>-0.46653491539016345</v>
      </c>
      <c r="K12" s="522">
        <f>IF(ISNUMBER((((NºAsuntos!C12+NºAsuntos!E12)/NºAsuntos!G12)-Datos!BG12)/Datos!BG12),(((NºAsuntos!C12+NºAsuntos!E12)/NºAsuntos!G12)-Datos!BG12)/Datos!BG12," - ")</f>
        <v>0.12045452843610779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-8.6956521739130432E-2</v>
      </c>
      <c r="C14" s="1152">
        <f>IF(ISNUMBER(
   IF(J_V="SI",(Datos!J14-Datos!T14)/Datos!T14,(Datos!J14+Datos!Z14-(Datos!T14+Datos!AH14))/(Datos!T14+Datos!AH14))
     ),IF(J_V="SI",(Datos!J14-Datos!T14)/Datos!T14,(Datos!J14+Datos!Z14-(Datos!T14+Datos!AH14))/(Datos!T14+Datos!AH14))," - ")</f>
        <v>0.14102564102564102</v>
      </c>
      <c r="D14" s="1152">
        <f>IF(ISNUMBER(
   IF(J_V="SI",(Datos!K14-Datos!U14)/Datos!U14,(Datos!K14+Datos!AA14-(Datos!U14+Datos!AI14))/(Datos!U14+Datos!AI14))
     ),IF(J_V="SI",(Datos!K14-Datos!U14)/Datos!U14,(Datos!K14+Datos!AA14-(Datos!U14+Datos!AI14))/(Datos!U14+Datos!AI14))," - ")</f>
        <v>-5.2953156822810592E-2</v>
      </c>
      <c r="E14" s="1152">
        <f>IF(ISNUMBER(
   IF(J_V="SI",(Datos!L14-Datos!V14)/Datos!V14,(Datos!L14+Datos!AB14-(Datos!V14+Datos!AJ14))/(Datos!V14+Datos!AJ14))
     ),IF(J_V="SI",(Datos!L14-Datos!V14)/Datos!V14,(Datos!L14+Datos!AB14-(Datos!V14+Datos!AJ14))/(Datos!V14+Datos!AJ14))," - ")</f>
        <v>0.2857142857142857</v>
      </c>
      <c r="F14" s="1153">
        <f>IF(ISNUMBER((Datos!M14-Datos!W14)/Datos!W14),(Datos!M14-Datos!W14)/Datos!W14," - ")</f>
        <v>-2.7272727272727271E-2</v>
      </c>
      <c r="G14" s="1154">
        <f>IF(ISNUMBER((Datos!N14-Datos!X14)/Datos!X14),(Datos!N14-Datos!X14)/Datos!X14," - ")</f>
        <v>-6.1904761904761907E-2</v>
      </c>
      <c r="H14" s="1154">
        <f>IF(ISNUMBER(((NºAsuntos!G14/NºAsuntos!E14)-Datos!BD14)/Datos!BD14),((NºAsuntos!G14/NºAsuntos!E14)-Datos!BD14)/Datos!BD14," - ")</f>
        <v>-0.17000389024920481</v>
      </c>
      <c r="I14" s="1154">
        <f>IF(ISNUMBER(((NºAsuntos!I14/NºAsuntos!G14)-Datos!BE14)/Datos!BE14),((NºAsuntos!I14/NºAsuntos!G14)-Datos!BE14)/Datos!BE14," - ")</f>
        <v>0.35760368663594472</v>
      </c>
      <c r="J14" s="1154">
        <f>IF(ISNUMBER((('Resol  Asuntos'!D14/NºAsuntos!G14)-Datos!BF14)/Datos!BF14),(('Resol  Asuntos'!D14/NºAsuntos!G14)-Datos!BF14)/Datos!BF14," - ")</f>
        <v>-0.4670622844390343</v>
      </c>
      <c r="K14" s="1154">
        <f>IF(ISNUMBER((((NºAsuntos!C14+NºAsuntos!E14)/NºAsuntos!G14)-Datos!BG14)/Datos!BG14),(((NºAsuntos!C14+NºAsuntos!E14)/NºAsuntos!G14)-Datos!BG14)/Datos!BG14," - ")</f>
        <v>0.11789937245403494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8.9928057553956831E-2</v>
      </c>
      <c r="C17" s="515">
        <f>IF(ISNUMBER(
   IF(D_I="SI",(Datos!J17-Datos!T17)/Datos!T17,(Datos!J17+Datos!AD17-(Datos!T17+Datos!AL17))/(Datos!T17+Datos!AL17))
     ),IF(D_I="SI",(Datos!J17-Datos!T17)/Datos!T17,(Datos!J17+Datos!AD17-(Datos!T17+Datos!AL17))/(Datos!T17+Datos!AL17))," - ")</f>
        <v>2.10896309314587E-2</v>
      </c>
      <c r="D17" s="515">
        <f>IF(ISNUMBER(
   IF(D_I="SI",(Datos!K17-Datos!U17)/Datos!U17,(Datos!K17+Datos!AE17-(Datos!U17+Datos!AM17))/(Datos!U17+Datos!AM17))
     ),IF(D_I="SI",(Datos!K17-Datos!U17)/Datos!U17,(Datos!K17+Datos!AE17-(Datos!U17+Datos!AM17))/(Datos!U17+Datos!AM17))," - ")</f>
        <v>3.5118525021949079E-2</v>
      </c>
      <c r="E17" s="515">
        <f>IF(ISNUMBER(
   IF(D_I="SI",(Datos!L17-Datos!V17)/Datos!V17,(Datos!L17+Datos!AF17-(Datos!V17+Datos!AN17))/(Datos!V17+Datos!AN17))
     ),IF(D_I="SI",(Datos!L17-Datos!V17)/Datos!V17,(Datos!L17+Datos!AF17-(Datos!V17+Datos!AN17))/(Datos!V17+Datos!AN17))," - ")</f>
        <v>3.3003300330033E-2</v>
      </c>
      <c r="F17" s="515">
        <f>IF(ISNUMBER((Datos!M17-Datos!W17)/Datos!W17),(Datos!M17-Datos!W17)/Datos!W17," - ")</f>
        <v>0.22222222222222221</v>
      </c>
      <c r="G17" s="516">
        <f>IF(ISNUMBER((Datos!N17-Datos!X17)/Datos!X17),(Datos!N17-Datos!X17)/Datos!X17," - ")</f>
        <v>1.4492753623188406E-2</v>
      </c>
      <c r="H17" s="514">
        <f>IF(ISNUMBER(((NºAsuntos!G17/NºAsuntos!E17)-Datos!BD17)/Datos!BD17),((NºAsuntos!G17/NºAsuntos!E17)-Datos!BD17)/Datos!BD17," - ")</f>
        <v>1.3739140684146349E-2</v>
      </c>
      <c r="I17" s="515">
        <f>IF(ISNUMBER(((NºAsuntos!I17/NºAsuntos!G17)-Datos!BE17)/Datos!BE17),((NºAsuntos!I17/NºAsuntos!G17)-Datos!BE17)/Datos!BE17," - ")</f>
        <v>-2.0434613435899589E-3</v>
      </c>
      <c r="J17" s="521">
        <f>IF(ISNUMBER((('Resol  Asuntos'!D17/NºAsuntos!G17)-Datos!BF17)/Datos!BF17),(('Resol  Asuntos'!D17/NºAsuntos!G17)-Datos!BF17)/Datos!BF17," - ")</f>
        <v>0.18075581943266433</v>
      </c>
      <c r="K17" s="522">
        <f>IF(ISNUMBER((((NºAsuntos!C17+NºAsuntos!E17)/NºAsuntos!G17)-Datos!BG17)/Datos!BG17),(((NºAsuntos!C17+NºAsuntos!E17)/NºAsuntos!G17)-Datos!BG17)/Datos!BG17," - ")</f>
        <v>-4.965665626810936E-4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0.52459016393442626</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0</v>
      </c>
      <c r="G18" s="516">
        <f>IF(ISNUMBER((Datos!N18-Datos!X18)/Datos!X18),(Datos!N18-Datos!X18)/Datos!X18," - ")</f>
        <v>0.21153846153846154</v>
      </c>
      <c r="H18" s="514">
        <f>IF(ISNUMBER(((NºAsuntos!G18/NºAsuntos!E18)-Datos!BD18)/Datos!BD18),((NºAsuntos!G18/NºAsuntos!E18)-Datos!BD18)/Datos!BD18," - ")</f>
        <v>4.9462365591397842E-2</v>
      </c>
      <c r="I18" s="515">
        <f>IF(ISNUMBER(((NºAsuntos!I18/NºAsuntos!G18)-Datos!BE18)/Datos!BE18),((NºAsuntos!I18/NºAsuntos!G18)-Datos!BE18)/Datos!BE18," - ")</f>
        <v>-0.51388888888888884</v>
      </c>
      <c r="J18" s="521">
        <f>IF(ISNUMBER((('Resol  Asuntos'!D18/NºAsuntos!G18)-Datos!BF18)/Datos!BF18),(('Resol  Asuntos'!D18/NºAsuntos!G18)-Datos!BF18)/Datos!BF18," - ")</f>
        <v>-0.375</v>
      </c>
      <c r="K18" s="522">
        <f>IF(ISNUMBER((((NºAsuntos!C18+NºAsuntos!E18)/NºAsuntos!G18)-Datos!BG18)/Datos!BG18),(((NºAsuntos!C18+NºAsuntos!E18)/NºAsuntos!G18)-Datos!BG18)/Datos!BG18," - ")</f>
        <v>-7.6086956521739066E-2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9.0909090909090912E-2</v>
      </c>
      <c r="C23" s="1152">
        <f>IF(ISNUMBER(
   IF(Criterios!B14="SI",(Datos!J23-Datos!T23)/Datos!T23,(Datos!J23+Datos!AD23-(Datos!T23+Datos!AL23))/(Datos!T23+Datos!AL23))
     ),IF(Criterios!B14="SI",(Datos!J23-Datos!T23)/Datos!T23,(Datos!J23+Datos!AD23-(Datos!T23+Datos!AL23))/(Datos!T23+Datos!AL23))," - ")</f>
        <v>4.6705587989991658E-2</v>
      </c>
      <c r="D23" s="1152">
        <f>IF(ISNUMBER(
   IF(Criterios!B14="SI",(Datos!K23-Datos!U23)/Datos!U23,(Datos!K23+Datos!AE23-(Datos!U23+Datos!AM23))/(Datos!U23+Datos!AM23))
     ),IF(Criterios!B14="SI",(Datos!K23-Datos!U23)/Datos!U23,(Datos!K23+Datos!AE23-(Datos!U23+Datos!AM23))/(Datos!U23+Datos!AM23))," - ")</f>
        <v>6.3386155129274396E-2</v>
      </c>
      <c r="E23" s="1152">
        <f>IF(ISNUMBER(
   IF(Criterios!B14="SI",(Datos!L23-Datos!V23)/Datos!V23,(Datos!L23+Datos!AF23-(Datos!V23+Datos!AN23))/(Datos!V23+Datos!AN23))
     ),IF(Criterios!B14="SI",(Datos!L23-Datos!V23)/Datos!V23,(Datos!L23+Datos!AF23-(Datos!V23+Datos!AN23))/(Datos!V23+Datos!AN23))," - ")</f>
        <v>2.564102564102564E-2</v>
      </c>
      <c r="F23" s="1153">
        <f>IF(ISNUMBER((Datos!M23-Datos!W23)/Datos!W23),(Datos!M23-Datos!W23)/Datos!W23," - ")</f>
        <v>0.20809248554913296</v>
      </c>
      <c r="G23" s="1154">
        <f>IF(ISNUMBER((Datos!N23-Datos!X23)/Datos!X23),(Datos!N23-Datos!X23)/Datos!X23," - ")</f>
        <v>2.8301886792452831E-2</v>
      </c>
      <c r="H23" s="1154">
        <f>IF(ISNUMBER(((NºAsuntos!G23/NºAsuntos!E23)-Datos!BD23)/Datos!BD23),((NºAsuntos!G23/NºAsuntos!E23)-Datos!BD23)/Datos!BD23," - ")</f>
        <v>1.5936254980079667E-2</v>
      </c>
      <c r="I23" s="1154">
        <f>IF(ISNUMBER(((NºAsuntos!I23/NºAsuntos!G23)-Datos!BE23)/Datos!BE23),((NºAsuntos!I23/NºAsuntos!G23)-Datos!BE23)/Datos!BE23," - ")</f>
        <v>-3.5495223730517951E-2</v>
      </c>
      <c r="J23" s="1154">
        <f>IF(ISNUMBER((('Resol  Asuntos'!D23/NºAsuntos!G23)-Datos!BF23)/Datos!BF23),(('Resol  Asuntos'!D23/NºAsuntos!G23)-Datos!BF23)/Datos!BF23," - ")</f>
        <v>0.13608069817522378</v>
      </c>
      <c r="K23" s="1154">
        <f>IF(ISNUMBER((((NºAsuntos!C23+NºAsuntos!E23)/NºAsuntos!G23)-Datos!BG23)/Datos!BG23),(((NºAsuntos!C23+NºAsuntos!E23)/NºAsuntos!G23)-Datos!BG23)/Datos!BG23," - ")</f>
        <v>-7.6804647785039277E-3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-2.4539877300613498E-2</v>
      </c>
      <c r="C31" s="1092">
        <f>IF(ISNUMBER(
   IF(J_V="SI",(Datos!J31-Datos!T31)/Datos!T31,(Datos!J31+Datos!Z31-(Datos!T31+Datos!AH31))/(Datos!T31+Datos!AH31))
     ),IF(J_V="SI",(Datos!J31-Datos!T31)/Datos!T31,(Datos!J31+Datos!Z31-(Datos!T31+Datos!AH31))/(Datos!T31+Datos!AH31))," - ")</f>
        <v>8.8056206088992978E-2</v>
      </c>
      <c r="D31" s="1092">
        <f>IF(ISNUMBER(
   IF(J_V="SI",(Datos!K31-Datos!U31)/Datos!U31,(Datos!K31+Datos!AA31-(Datos!U31+Datos!AI31))/(Datos!U31+Datos!AI31))
     ),IF(J_V="SI",(Datos!K31-Datos!U31)/Datos!U31,(Datos!K31+Datos!AA31-(Datos!U31+Datos!AI31))/(Datos!U31+Datos!AI31))," - ")</f>
        <v>1.1004126547455296E-2</v>
      </c>
      <c r="E31" s="1092">
        <f>IF(ISNUMBER(
   IF(J_V="SI",(Datos!L31-Datos!V31)/Datos!V31,(Datos!L31+Datos!AB31-(Datos!V31+Datos!AJ31))/(Datos!V31+Datos!AJ31))
     ),IF(J_V="SI",(Datos!L31-Datos!V31)/Datos!V31,(Datos!L31+Datos!AB31-(Datos!V31+Datos!AJ31))/(Datos!V31+Datos!AJ31))," - ")</f>
        <v>0.18364779874213835</v>
      </c>
      <c r="F31" s="1093">
        <f>IF(ISNUMBER((Datos!M31-Datos!W31)/Datos!W31),(Datos!M31-Datos!W31)/Datos!W31," - ")</f>
        <v>7.6335877862595422E-2</v>
      </c>
      <c r="G31" s="1094">
        <f>IF(ISNUMBER((Datos!N31-Datos!X31)/Datos!X31),(Datos!N31-Datos!X31)/Datos!X31," - ")</f>
        <v>-4.3029259896729772E-3</v>
      </c>
      <c r="H31" s="1095">
        <f>IF(ISNUMBER((Tasas!B31-Datos!BD31)/Datos!BD31),(Tasas!B31-Datos!BD31)/Datos!BD31," - ")</f>
        <v>-7.081626768023358E-2</v>
      </c>
      <c r="I31" s="1096">
        <f>IF(ISNUMBER((Tasas!C31-Datos!BE31)/Datos!BE31),(Tasas!C31-Datos!BE31)/Datos!BE31," - ")</f>
        <v>0.17076455739528529</v>
      </c>
      <c r="J31" s="1097">
        <f>IF(ISNUMBER((Tasas!D31-Datos!BF31)/Datos!BF31),(Tasas!D31-Datos!BF31)/Datos!BF31," - ")</f>
        <v>-0.29916931596759316</v>
      </c>
      <c r="K31" s="1097">
        <f>IF(ISNUMBER((Tasas!E31-Datos!BG31)/Datos!BG31),(Tasas!E31-Datos!BG31)/Datos!BG31," - ")</f>
        <v>4.5444944079326595E-2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7BNdCSMC+6N+7TOpcoNVKW4zHKoJL7vDNeciQV+7NQEzVOG2WzRGRfoN3+Y+CDt13aSA5h3WEd1CKp1ZxC5A==" saltValue="GOTMgV40ddwoP4R61FI0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DAIMIEL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0.1111111111111111</v>
      </c>
      <c r="D10" s="499">
        <f>IF(ISNUMBER('Resol  Asuntos'!D10/NºAsuntos!G10),'Resol  Asuntos'!D10/NºAsuntos!G10," - ")</f>
        <v>0.33333333333333331</v>
      </c>
      <c r="E10" s="500">
        <f>IF(ISNUMBER((NºAsuntos!C10+NºAsuntos!E10)/NºAsuntos!G10),(NºAsuntos!C10+NºAsuntos!E10)/NºAsuntos!G10," - ")</f>
        <v>1.1111111111111112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0.86723163841807904</v>
      </c>
      <c r="C12" s="498">
        <f>IF(ISNUMBER(NºAsuntos!I12/NºAsuntos!G12),NºAsuntos!I12/NºAsuntos!G12," - ")</f>
        <v>0.67318132464712266</v>
      </c>
      <c r="D12" s="499">
        <f>IF(ISNUMBER('Resol  Asuntos'!D12/NºAsuntos!G12),'Resol  Asuntos'!D12/NºAsuntos!G12," - ")</f>
        <v>0.22909880564603691</v>
      </c>
      <c r="E12" s="500">
        <f>IF(ISNUMBER((NºAsuntos!C12+NºAsuntos!E12)/NºAsuntos!G12),(NºAsuntos!C12+NºAsuntos!E12)/NºAsuntos!G12," - ")</f>
        <v>1.6731813246471228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0.8707865168539326</v>
      </c>
      <c r="C14" s="1156">
        <f>IF(ISNUMBER(NºAsuntos!I14/NºAsuntos!G14),NºAsuntos!I14/NºAsuntos!G14," - ")</f>
        <v>0.66774193548387095</v>
      </c>
      <c r="D14" s="1157">
        <f>IF(ISNUMBER('Resol  Asuntos'!D14/NºAsuntos!G14),'Resol  Asuntos'!D14/NºAsuntos!G14," - ")</f>
        <v>0.23010752688172043</v>
      </c>
      <c r="E14" s="1158">
        <f>IF(ISNUMBER((NºAsuntos!C14+NºAsuntos!E14)/NºAsuntos!G14),(NºAsuntos!C14+NºAsuntos!E14)/NºAsuntos!G14," - ")</f>
        <v>1.667741935483871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1.0146299483648882</v>
      </c>
      <c r="C17" s="498">
        <f>IF(ISNUMBER(NºAsuntos!I17/NºAsuntos!G17),NºAsuntos!I17/NºAsuntos!G17," - ")</f>
        <v>0.26547921967769295</v>
      </c>
      <c r="D17" s="499">
        <f>IF(ISNUMBER('Resol  Asuntos'!D17/NºAsuntos!G17),'Resol  Asuntos'!D17/NºAsuntos!G17," - ")</f>
        <v>0.16793893129770993</v>
      </c>
      <c r="E17" s="500">
        <f>IF(ISNUMBER((NºAsuntos!C17+NºAsuntos!E17)/NºAsuntos!G17),(NºAsuntos!C17+NºAsuntos!E17)/NºAsuntos!G17," - ")</f>
        <v>1.2425784563189144</v>
      </c>
      <c r="G17" s="523"/>
    </row>
    <row r="18" spans="1:7">
      <c r="A18" s="450" t="str">
        <f>Datos!A18</f>
        <v>Jdos. Violencia contra la mujer</v>
      </c>
      <c r="B18" s="497">
        <f>IF(ISNUMBER(NºAsuntos!G18/NºAsuntos!E18),NºAsuntos!G18/NºAsuntos!E18," - ")</f>
        <v>1.032258064516129</v>
      </c>
      <c r="C18" s="498">
        <f>IF(ISNUMBER(NºAsuntos!I18/NºAsuntos!G18),NºAsuntos!I18/NºAsuntos!G18," - ")</f>
        <v>7.2916666666666671E-2</v>
      </c>
      <c r="D18" s="499">
        <f>IF(ISNUMBER('Resol  Asuntos'!D18/NºAsuntos!G18),'Resol  Asuntos'!D18/NºAsuntos!G18," - ")</f>
        <v>0.11458333333333333</v>
      </c>
      <c r="E18" s="500">
        <f>IF(ISNUMBER((NºAsuntos!C18+NºAsuntos!E18)/NºAsuntos!G18),(NºAsuntos!C18+NºAsuntos!E18)/NºAsuntos!G18," - ")</f>
        <v>1.0625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1.0159362549800797</v>
      </c>
      <c r="C23" s="1156">
        <f>IF(ISNUMBER(NºAsuntos!I23/NºAsuntos!G23),NºAsuntos!I23/NºAsuntos!G23," - ")</f>
        <v>0.25098039215686274</v>
      </c>
      <c r="D23" s="1159">
        <f>IF(ISNUMBER('Resol  Asuntos'!D23/NºAsuntos!G23),'Resol  Asuntos'!D23/NºAsuntos!G23," - ")</f>
        <v>0.16392156862745097</v>
      </c>
      <c r="E23" s="1158">
        <f>IF(ISNUMBER((NºAsuntos!C23+NºAsuntos!E23)/NºAsuntos!G23),(NºAsuntos!C23+NºAsuntos!E23)/NºAsuntos!G23," - ")</f>
        <v>1.2290196078431372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0.94920361601377534</v>
      </c>
      <c r="C31" s="1099">
        <f>IF(ISNUMBER(NºAsuntos!I31/NºAsuntos!G31),NºAsuntos!I31/NºAsuntos!G31," - ")</f>
        <v>0.42675736961451249</v>
      </c>
      <c r="D31" s="1100">
        <f>IF(ISNUMBER('Resol  Asuntos'!D31/NºAsuntos!G31),'Resol  Asuntos'!D31/NºAsuntos!G31," - ")</f>
        <v>0.19183673469387755</v>
      </c>
      <c r="E31" s="1101">
        <f>IF(ISNUMBER((NºAsuntos!C31+NºAsuntos!E31)/NºAsuntos!G31),(NºAsuntos!C31+NºAsuntos!E31)/NºAsuntos!G31," - ")</f>
        <v>1.4140589569160997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j723GdxYjUUXNRyOvlOXh9ILojuQCDzAChq3ja3+DNlEHcs7xLf6byaT1VgNYmBM1zvx9E1WIrA2LNVcI1QQg==" saltValue="qn/GLo0Uswf9pnZlxN+i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DAIMIEL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1</v>
      </c>
      <c r="AB10" s="374">
        <f>IF(ISNUMBER(Datos!R10),Datos!R10," - ")</f>
        <v>2</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1.2222222222222221</v>
      </c>
      <c r="AN10" s="267">
        <f>IF(ISNUMBER('Resol  Asuntos'!D10/NºAsuntos!G10),'Resol  Asuntos'!D10/NºAsuntos!G10," - ")</f>
        <v>0.33333333333333331</v>
      </c>
      <c r="AO10" s="268">
        <f>IF(ISNUMBER((NºAsuntos!C10+NºAsuntos!E10)/NºAsuntos!G10),(NºAsuntos!C10+NºAsuntos!E10)/NºAsuntos!G10," - ")</f>
        <v>1.1111111111111112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176</v>
      </c>
      <c r="Y12" s="374">
        <f t="shared" si="0"/>
        <v>176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211</v>
      </c>
      <c r="AJ12" s="243" t="str">
        <f>IF(ISNUMBER(Datos!BW12),Datos!BW12," - ")</f>
        <v xml:space="preserve"> - </v>
      </c>
      <c r="AK12" s="242" t="str">
        <f>IF(ISNUMBER(Datos!BX12),Datos!BX12," - ")</f>
        <v xml:space="preserve"> - </v>
      </c>
      <c r="AL12" s="266">
        <f>IF(ISNUMBER(NºAsuntos!G12/NºAsuntos!E12),NºAsuntos!G12/NºAsuntos!E12," - ")</f>
        <v>0.86723163841807904</v>
      </c>
      <c r="AM12" s="284">
        <f>IF(ISNUMBER(((NºAsuntos!I12/NºAsuntos!G12)*11)/factor_trimestre),((NºAsuntos!I12/NºAsuntos!G12)*11)/factor_trimestre," - ")</f>
        <v>7.4049945711183494</v>
      </c>
      <c r="AN12" s="267">
        <f>IF(ISNUMBER('Resol  Asuntos'!D12/NºAsuntos!G12),'Resol  Asuntos'!D12/NºAsuntos!G12," - ")</f>
        <v>0.22909880564603691</v>
      </c>
      <c r="AO12" s="268">
        <f>IF(ISNUMBER((NºAsuntos!C12+NºAsuntos!E12)/NºAsuntos!G12),(NºAsuntos!C12+NºAsuntos!E12)/NºAsuntos!G12," - ")</f>
        <v>1.6731813246471228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241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177</v>
      </c>
      <c r="Y14" s="1165">
        <f t="shared" si="6"/>
        <v>186</v>
      </c>
      <c r="Z14" s="1165">
        <f t="shared" si="6"/>
        <v>0</v>
      </c>
      <c r="AA14" s="1165">
        <f t="shared" si="6"/>
        <v>1</v>
      </c>
      <c r="AB14" s="1165">
        <f t="shared" si="6"/>
        <v>1123</v>
      </c>
      <c r="AC14" s="1165">
        <f t="shared" si="6"/>
        <v>3</v>
      </c>
      <c r="AD14" s="1165">
        <f t="shared" si="6"/>
        <v>0</v>
      </c>
      <c r="AE14" s="1169">
        <f t="shared" si="6"/>
        <v>0</v>
      </c>
      <c r="AF14" s="1162">
        <f t="shared" si="6"/>
        <v>0</v>
      </c>
      <c r="AG14" s="1170">
        <f t="shared" si="6"/>
        <v>0</v>
      </c>
      <c r="AH14" s="1167">
        <f t="shared" si="6"/>
        <v>0</v>
      </c>
      <c r="AI14" s="1162">
        <f t="shared" si="6"/>
        <v>214</v>
      </c>
      <c r="AJ14" s="1164">
        <f t="shared" si="6"/>
        <v>0</v>
      </c>
      <c r="AK14" s="1167">
        <f>SUBTOTAL(9,AK9:AK13)</f>
        <v>0</v>
      </c>
      <c r="AL14" s="1171">
        <f>IF(ISNUMBER(NºAsuntos!G14/NºAsuntos!E14),NºAsuntos!G14/NºAsuntos!E14," - ")</f>
        <v>0.8707865168539326</v>
      </c>
      <c r="AM14" s="1171">
        <f>IF(ISNUMBER(((NºAsuntos!I14/NºAsuntos!G14)*11)/factor_trimestre),((NºAsuntos!I14/NºAsuntos!G14)*11)/factor_trimestre," - ")</f>
        <v>7.3451612903225802</v>
      </c>
      <c r="AN14" s="1172">
        <f>IF(ISNUMBER('Resol  Asuntos'!D14/NºAsuntos!G14),'Resol  Asuntos'!D14/NºAsuntos!G14," - ")</f>
        <v>0.23010752688172043</v>
      </c>
      <c r="AO14" s="1173">
        <f>IF(ISNUMBER((NºAsuntos!C14+NºAsuntos!E14)/NºAsuntos!G14),(NºAsuntos!C14+NºAsuntos!E14)/NºAsuntos!G14," - ")</f>
        <v>1.667741935483871</v>
      </c>
      <c r="AP14" s="1174" t="str">
        <f t="shared" si="2"/>
        <v xml:space="preserve"> - </v>
      </c>
      <c r="AQ14" s="1174">
        <f>IF(ISNUMBER((H14-W14+K14)/(F14)),(H14-W14+K14)/(F14)," - ")</f>
        <v>-2.25</v>
      </c>
      <c r="AR14" s="1175">
        <f>IF(ISNUMBER((Datos!P14-Datos!Q14)/(Datos!R14-Datos!P14+Datos!Q14)),(Datos!P14-Datos!Q14)/(Datos!R14-Datos!P14+Datos!Q14)," - ")</f>
        <v>6.043437204910293E-2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330</v>
      </c>
      <c r="G17" s="373">
        <f>IF(ISNUMBER(IF(D_I="SI",Datos!I17,Datos!I17+Datos!AC17)),IF(D_I="SI",Datos!I17,Datos!I17+Datos!AC17)," - ")</f>
        <v>303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1179</v>
      </c>
      <c r="X17" s="240">
        <f>IF(ISNUMBER(Datos!Q17),Datos!Q17," - ")</f>
        <v>47</v>
      </c>
      <c r="Y17" s="374">
        <f t="shared" ref="Y17:Y22" si="9">SUM(W17:X17)</f>
        <v>1226</v>
      </c>
      <c r="Z17" s="375" t="str">
        <f>IF(ISNUMBER(Datos!CC17),Datos!CC17," - ")</f>
        <v xml:space="preserve"> - </v>
      </c>
      <c r="AA17" s="372">
        <f>IF(ISNUMBER(IF(D_I="SI",Datos!L17,Datos!L17+Datos!AF17)),IF(D_I="SI",Datos!L17,Datos!L17+Datos!AF17)," - ")</f>
        <v>313</v>
      </c>
      <c r="AB17" s="374">
        <f>IF(ISNUMBER(Datos!R17),Datos!R17," - ")</f>
        <v>65</v>
      </c>
      <c r="AC17" s="374">
        <f t="shared" si="8"/>
        <v>378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198</v>
      </c>
      <c r="AJ17" s="245" t="str">
        <f>IF(ISNUMBER(Datos!BW17),Datos!BW17," - ")</f>
        <v xml:space="preserve"> - </v>
      </c>
      <c r="AK17" s="246" t="str">
        <f>IF(ISNUMBER(Datos!BX17),Datos!BX17," - ")</f>
        <v xml:space="preserve"> - </v>
      </c>
      <c r="AL17" s="266">
        <f>IF(ISNUMBER(NºAsuntos!G17/NºAsuntos!E17),NºAsuntos!G17/NºAsuntos!E17," - ")</f>
        <v>1.0146299483648882</v>
      </c>
      <c r="AM17" s="284">
        <f>IF(ISNUMBER(((NºAsuntos!I17/NºAsuntos!G17)*11)/factor_trimestre),((NºAsuntos!I17/NºAsuntos!G17)*11)/factor_trimestre," - ")</f>
        <v>2.9202714164546224</v>
      </c>
      <c r="AN17" s="267">
        <f>IF(ISNUMBER('Resol  Asuntos'!D17/NºAsuntos!G17),'Resol  Asuntos'!D17/NºAsuntos!G17," - ")</f>
        <v>0.16793893129770993</v>
      </c>
      <c r="AO17" s="268">
        <f>IF(ISNUMBER((NºAsuntos!C17+NºAsuntos!E17)/NºAsuntos!G17),(NºAsuntos!C17+NºAsuntos!E17)/NºAsuntos!G17," - ")</f>
        <v>1.2425784563189144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v>
      </c>
      <c r="X18" s="240">
        <f>IF(ISNUMBER(Datos!Q18),Datos!Q18," - ")</f>
        <v>0</v>
      </c>
      <c r="Y18" s="374">
        <f t="shared" si="9"/>
        <v>96</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1.032258064516129</v>
      </c>
      <c r="AM18" s="284">
        <f>IF(ISNUMBER(((NºAsuntos!I18/NºAsuntos!G18)*11)/factor_trimestre),((NºAsuntos!I18/NºAsuntos!G18)*11)/factor_trimestre," - ")</f>
        <v>0.80208333333333337</v>
      </c>
      <c r="AN18" s="267">
        <f>IF(ISNUMBER('Resol  Asuntos'!D18/NºAsuntos!G18),'Resol  Asuntos'!D18/NºAsuntos!G18," - ")</f>
        <v>0.11458333333333333</v>
      </c>
      <c r="AO18" s="268">
        <f>IF(ISNUMBER((NºAsuntos!C18+NºAsuntos!E18)/NºAsuntos!G18),(NºAsuntos!C18+NºAsuntos!E18)/NºAsuntos!G18," - ")</f>
        <v>1.0625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330</v>
      </c>
      <c r="G23" s="1163">
        <f>SUBTOTAL(9,G16:G22)</f>
        <v>312</v>
      </c>
      <c r="H23" s="1162">
        <f t="shared" ref="H23:O23" si="13">SUBTOTAL(9,H15:H22)</f>
        <v>0</v>
      </c>
      <c r="I23" s="1164">
        <f t="shared" si="13"/>
        <v>0</v>
      </c>
      <c r="J23" s="1164">
        <f t="shared" si="13"/>
        <v>0</v>
      </c>
      <c r="K23" s="1164">
        <f t="shared" si="13"/>
        <v>0</v>
      </c>
      <c r="L23" s="1164">
        <f t="shared" si="13"/>
        <v>65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1275</v>
      </c>
      <c r="X23" s="1164">
        <f t="shared" si="14"/>
        <v>47</v>
      </c>
      <c r="Y23" s="1165">
        <f t="shared" si="14"/>
        <v>1322</v>
      </c>
      <c r="Z23" s="1165">
        <f t="shared" si="14"/>
        <v>0</v>
      </c>
      <c r="AA23" s="1165">
        <f t="shared" si="14"/>
        <v>320</v>
      </c>
      <c r="AB23" s="1165">
        <f t="shared" si="14"/>
        <v>65</v>
      </c>
      <c r="AC23" s="1165">
        <f t="shared" si="14"/>
        <v>385</v>
      </c>
      <c r="AD23" s="1165">
        <f t="shared" si="14"/>
        <v>0</v>
      </c>
      <c r="AE23" s="1169">
        <f t="shared" si="14"/>
        <v>0</v>
      </c>
      <c r="AF23" s="1162">
        <f t="shared" si="14"/>
        <v>0</v>
      </c>
      <c r="AG23" s="1170">
        <f t="shared" si="14"/>
        <v>0</v>
      </c>
      <c r="AH23" s="1167">
        <f t="shared" si="14"/>
        <v>0</v>
      </c>
      <c r="AI23" s="1162">
        <f t="shared" si="14"/>
        <v>209</v>
      </c>
      <c r="AJ23" s="1164">
        <f t="shared" si="14"/>
        <v>0</v>
      </c>
      <c r="AK23" s="1167">
        <f t="shared" si="14"/>
        <v>0</v>
      </c>
      <c r="AL23" s="1171">
        <f>IF(ISNUMBER(NºAsuntos!G23/NºAsuntos!E23),NºAsuntos!G23/NºAsuntos!E23," - ")</f>
        <v>1.0159362549800797</v>
      </c>
      <c r="AM23" s="1171">
        <f>IF(ISNUMBER(((NºAsuntos!I23/NºAsuntos!G23)*11)/factor_trimestre),((NºAsuntos!I23/NºAsuntos!G23)*11)/factor_trimestre," - ")</f>
        <v>2.7607843137254902</v>
      </c>
      <c r="AN23" s="1172">
        <f>IF(ISNUMBER('Resol  Asuntos'!D23/NºAsuntos!G23),'Resol  Asuntos'!D23/NºAsuntos!G23," - ")</f>
        <v>0.16392156862745097</v>
      </c>
      <c r="AO23" s="1173">
        <f>IF(ISNUMBER((NºAsuntos!C23+NºAsuntos!E23)/NºAsuntos!G23),(NºAsuntos!C23+NºAsuntos!E23)/NºAsuntos!G23," - ")</f>
        <v>1.2290196078431372</v>
      </c>
      <c r="AP23" s="1174" t="str">
        <f t="shared" si="2"/>
        <v xml:space="preserve"> - </v>
      </c>
      <c r="AQ23" s="1174">
        <f>IF(ISNUMBER((H23-W23+K23)/(F23)),(H23-W23+K23)/(F23)," - ")</f>
        <v>-3.8636363636363638</v>
      </c>
      <c r="AR23" s="1175">
        <f>IF(ISNUMBER((Datos!P23-Datos!Q23)/(Datos!R23-Datos!P23+Datos!Q23)),(Datos!P23-Datos!Q23)/(Datos!R23-Datos!P23+Datos!Q23)," - ")</f>
        <v>0.38297872340425532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334</v>
      </c>
      <c r="G31" s="1118">
        <f t="shared" si="20"/>
        <v>316</v>
      </c>
      <c r="H31" s="1117">
        <f t="shared" si="20"/>
        <v>0</v>
      </c>
      <c r="I31" s="1119">
        <f t="shared" si="20"/>
        <v>0</v>
      </c>
      <c r="J31" s="1119">
        <f t="shared" si="20"/>
        <v>0</v>
      </c>
      <c r="K31" s="1180">
        <f t="shared" si="20"/>
        <v>0</v>
      </c>
      <c r="L31" s="1119">
        <f t="shared" si="20"/>
        <v>306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1284</v>
      </c>
      <c r="X31" s="1118">
        <f t="shared" si="21"/>
        <v>224</v>
      </c>
      <c r="Y31" s="1125">
        <f t="shared" si="21"/>
        <v>1508</v>
      </c>
      <c r="Z31" s="1125">
        <f t="shared" si="21"/>
        <v>0</v>
      </c>
      <c r="AA31" s="1125">
        <f t="shared" si="21"/>
        <v>321</v>
      </c>
      <c r="AB31" s="1125">
        <f t="shared" si="21"/>
        <v>1188</v>
      </c>
      <c r="AC31" s="1125">
        <f t="shared" si="21"/>
        <v>388</v>
      </c>
      <c r="AD31" s="1125">
        <f t="shared" si="21"/>
        <v>0</v>
      </c>
      <c r="AE31" s="1127">
        <f t="shared" si="21"/>
        <v>0</v>
      </c>
      <c r="AF31" s="1128">
        <f t="shared" si="21"/>
        <v>0</v>
      </c>
      <c r="AG31" s="1129">
        <f t="shared" si="21"/>
        <v>0</v>
      </c>
      <c r="AH31" s="1127">
        <f t="shared" si="21"/>
        <v>0</v>
      </c>
      <c r="AI31" s="1117">
        <f t="shared" si="21"/>
        <v>423</v>
      </c>
      <c r="AJ31" s="1117">
        <f t="shared" si="21"/>
        <v>0</v>
      </c>
      <c r="AK31" s="1127">
        <f t="shared" si="21"/>
        <v>0</v>
      </c>
      <c r="AL31" s="1183">
        <f>IF(ISNUMBER(NºAsuntos!G31/NºAsuntos!E31),NºAsuntos!G31/NºAsuntos!E31," - ")</f>
        <v>0.94920361601377534</v>
      </c>
      <c r="AM31" s="1184">
        <f>IF(ISNUMBER(((NºAsuntos!I31/NºAsuntos!G31)*11)/factor_trimestre),((NºAsuntos!I31/NºAsuntos!G31)*11)/factor_trimestre," - ")</f>
        <v>4.6943310657596378</v>
      </c>
      <c r="AN31" s="1184">
        <f>IF(ISNUMBER('Resol  Asuntos'!D31/NºAsuntos!G31),'Resol  Asuntos'!D31/NºAsuntos!G31," - ")</f>
        <v>0.19183673469387755</v>
      </c>
      <c r="AO31" s="1185">
        <f>IF(ISNUMBER((NºAsuntos!C31+NºAsuntos!E31)/NºAsuntos!G31),(NºAsuntos!C31+NºAsuntos!E31)/NºAsuntos!G31," - ")</f>
        <v>1.4140589569160997</v>
      </c>
      <c r="AP31" s="1186" t="str">
        <f t="shared" si="2"/>
        <v xml:space="preserve"> - </v>
      </c>
      <c r="AQ31" s="1187">
        <f>IF(OR(ISNUMBER(FIND("01",Criterios!A8,1)),ISNUMBER(FIND("02",Criterios!A8,1)),ISNUMBER(FIND("03",Criterios!A8,1)),ISNUMBER(FIND("04",Criterios!A8,1))),(I31-W31+K31)/(F31-K31),(H31-W31+K31)/(F31-K31))</f>
        <v>-3.8443113772455089</v>
      </c>
      <c r="AR31" s="1188">
        <f>IF(ISNUMBER((Datos!P31-Datos!Q31)/(Datos!R31-Datos!P31+Datos!Q31)),(Datos!P31-Datos!Q31)/(Datos!R31-Datos!P31+Datos!Q31)," - ")</f>
        <v>7.4141048824593131E-2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169.38791771158492</v>
      </c>
      <c r="G33" s="277">
        <f>IF(ISNUMBER(STDEV(G8:G30)),STDEV(G8:G30),"-")</f>
        <v>148.43934146727443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589.20212394147302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109.45808069106378</v>
      </c>
      <c r="AJ33" s="276">
        <f t="shared" si="25"/>
        <v>0</v>
      </c>
      <c r="AK33" s="278">
        <f t="shared" si="25"/>
        <v>0</v>
      </c>
      <c r="AL33" s="273">
        <f t="shared" si="25"/>
        <v>0.23270057318768986</v>
      </c>
      <c r="AM33" s="274">
        <f t="shared" si="25"/>
        <v>2.9336226953967577</v>
      </c>
      <c r="AN33" s="274">
        <f t="shared" si="25"/>
        <v>7.6030609875081062E-2</v>
      </c>
      <c r="AO33" s="275">
        <f t="shared" si="25"/>
        <v>0.27171489850786562</v>
      </c>
      <c r="AP33" s="317" t="str">
        <f t="shared" si="25"/>
        <v>-</v>
      </c>
      <c r="AQ33" s="318">
        <f t="shared" si="25"/>
        <v>1.141013215096476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17M1N72tEc01LhE8dQPHq3u7iur0reV6/IG6y+qFzmIWRsr3TDQpMvsWWsXWLikGeOE4XTbbjWIus+QZseUG6g==" saltValue="yDOh/mXRpS8MqX2PhGex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DAIMIEL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-0.14285714285714285</v>
      </c>
      <c r="F10" s="393">
        <f>IF(ISNUMBER((Datos!K10-Datos!U10)/Datos!U10),(Datos!K10-Datos!U10)/Datos!U10," - ")</f>
        <v>-0.18181818181818182</v>
      </c>
      <c r="G10" s="394">
        <f>IF(ISNUMBER((Datos!L10-Datos!V10)/Datos!V10),(Datos!L10-Datos!V10)/Datos!V10," - ")</f>
        <v>-0.75</v>
      </c>
      <c r="H10" s="244">
        <f>IF(ISNUMBER((Datos!M10-Datos!W10)/Datos!W10),(Datos!M10-Datos!W10)/Datos!W10," - ")</f>
        <v>-0.5714285714285714</v>
      </c>
      <c r="I10" s="395">
        <f>IF(ISNUMBER((Tasas!C10-Datos!BE10)/Datos!BE10),(Tasas!C10-Datos!BE10)/Datos!BE10," - ")</f>
        <v>-0.69444444444444442</v>
      </c>
      <c r="J10" s="394">
        <f>IF(ISNUMBER((Tasas!D10-Datos!BF10)/Datos!BF10),(Tasas!D10-Datos!BF10)/Datos!BF10," - ")</f>
        <v>-0.47619047619047622</v>
      </c>
      <c r="K10" s="396">
        <f>IF(ISNUMBER((Tasas!E10-Datos!BG10)/Datos!BG10),(Tasas!E10-Datos!BG10)/Datos!BG10," - ")</f>
        <v>-0.18518518518518509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-9.3896713615023476E-3</v>
      </c>
      <c r="I12" s="395">
        <f>IF(ISNUMBER((Tasas!C12-Datos!BE12)/Datos!BE12),(Tasas!C12-Datos!BE12)/Datos!BE12," - ")</f>
        <v>0.36463270612182896</v>
      </c>
      <c r="J12" s="394">
        <f>IF(ISNUMBER((Tasas!D12-Datos!BF12)/Datos!BF12),(Tasas!D12-Datos!BF12)/Datos!BF12," - ")</f>
        <v>-0.46653491539016345</v>
      </c>
      <c r="K12" s="396">
        <f>IF(ISNUMBER((Tasas!E12-Datos!BG12)/Datos!BG12),(Tasas!E12-Datos!BG12)/Datos!BG12," - ")</f>
        <v>0.12045452843610779</v>
      </c>
      <c r="M12" t="e">
        <f>IF(Monitorios="SI",Datos!CE12,0)</f>
        <v>#REF!</v>
      </c>
      <c r="N12" t="e">
        <f>IF(Monitorios="SI",Datos!CF12,0)</f>
        <v>#REF!</v>
      </c>
      <c r="O12" t="e">
        <f>IF(Monitorios="SI",Datos!CG12,0)</f>
        <v>#REF!</v>
      </c>
      <c r="P12" t="e">
        <f>IF(Monitorios="SI",Datos!CH12,0)</f>
        <v>#REF!</v>
      </c>
      <c r="Q12">
        <f>IF(J_V="SI",0,Datos!AG12)</f>
        <v>28</v>
      </c>
      <c r="R12">
        <f>IF(J_V="SI",0,Datos!AH12)</f>
        <v>60</v>
      </c>
      <c r="S12">
        <f>IF(J_V="SI",0,Datos!AI12)</f>
        <v>66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-2.7272727272727271E-2</v>
      </c>
      <c r="I14" s="402">
        <f>IF(ISNUMBER((Tasas!C14-Datos!BE14)/Datos!BE14),(Tasas!C14-Datos!BE14)/Datos!BE14," - ")</f>
        <v>0.35760368663594472</v>
      </c>
      <c r="J14" s="400">
        <f>IF(ISNUMBER((Tasas!D14-Datos!BF14)/Datos!BF14),(Tasas!D14-Datos!BF14)/Datos!BF14," - ")</f>
        <v>-0.4670622844390343</v>
      </c>
      <c r="K14" s="403">
        <f>IF(ISNUMBER((Tasas!E14-Datos!BG14)/Datos!BG14),(Tasas!E14-Datos!BG14)/Datos!BG14," - ")</f>
        <v>0.11789937245403494</v>
      </c>
      <c r="M14" t="e">
        <f>IF(Monitorios="SI",Datos!CE14,0)</f>
        <v>#REF!</v>
      </c>
      <c r="N14" t="e">
        <f>IF(Monitorios="SI",Datos!CF14,0)</f>
        <v>#REF!</v>
      </c>
      <c r="O14" t="e">
        <f>IF(Monitorios="SI",Datos!CG14,0)</f>
        <v>#REF!</v>
      </c>
      <c r="P14" t="e">
        <f>IF(Monitorios="SI",Datos!CH14,0)</f>
        <v>#REF!</v>
      </c>
      <c r="Q14">
        <f>IF(J_V="SI",0,Datos!AG14)</f>
        <v>28</v>
      </c>
      <c r="R14">
        <f>IF(J_V="SI",0,Datos!AH14)</f>
        <v>60</v>
      </c>
      <c r="S14">
        <f>IF(J_V="SI",0,Datos!AI14)</f>
        <v>66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8.9928057553956831E-2</v>
      </c>
      <c r="E17" s="393">
        <f>IF(ISNUMBER(
   IF(D_I="SI",(Datos!J17-Datos!T17)/Datos!T17,(Datos!J17+Datos!AD17-(Datos!T17+Datos!AL17))/(Datos!T17+Datos!AL17))
     ),IF(D_I="SI",(Datos!J17-Datos!T17)/Datos!T17,(Datos!J17+Datos!AD17-(Datos!T17+Datos!AL17))/(Datos!T17+Datos!AL17))," - ")</f>
        <v>2.10896309314587E-2</v>
      </c>
      <c r="F17" s="393">
        <f>IF(ISNUMBER(
   IF(D_I="SI",(Datos!K17-Datos!U17)/Datos!U17,(Datos!K17+Datos!AE17-(Datos!U17+Datos!AM17))/(Datos!U17+Datos!AM17))
     ),IF(D_I="SI",(Datos!K17-Datos!U17)/Datos!U17,(Datos!K17+Datos!AE17-(Datos!U17+Datos!AM17))/(Datos!U17+Datos!AM17))," - ")</f>
        <v>3.5118525021949079E-2</v>
      </c>
      <c r="G17" s="394">
        <f>IF(ISNUMBER(
   IF(D_I="SI",(Datos!L17-Datos!V17)/Datos!V17,(Datos!L17+Datos!AF17-(Datos!V17+Datos!AN17))/(Datos!V17+Datos!AN17))
     ),IF(D_I="SI",(Datos!L17-Datos!V17)/Datos!V17,(Datos!L17+Datos!AF17-(Datos!V17+Datos!AN17))/(Datos!V17+Datos!AN17))," - ")</f>
        <v>3.3003300330033E-2</v>
      </c>
      <c r="H17" s="244">
        <f>IF(ISNUMBER((Datos!M17-Datos!W17)/Datos!W17),(Datos!M17-Datos!W17)/Datos!W17," - ")</f>
        <v>0.22222222222222221</v>
      </c>
      <c r="I17" s="395">
        <f>IF(ISNUMBER((Tasas!C17-Datos!BE17)/Datos!BE17),(Tasas!C17-Datos!BE17)/Datos!BE17," - ")</f>
        <v>-2.0434613435899589E-3</v>
      </c>
      <c r="J17" s="394">
        <f>IF(ISNUMBER((Tasas!D17-Datos!BF17)/Datos!BF17),(Tasas!D17-Datos!BF17)/Datos!BF17," - ")</f>
        <v>0.18075581943266433</v>
      </c>
      <c r="K17" s="396">
        <f>IF(ISNUMBER((Tasas!E17-Datos!BG17)/Datos!BG17),(Tasas!E17-Datos!BG17)/Datos!BG17," - ")</f>
        <v>-4.965665626810936E-4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0.52459016393442626</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0</v>
      </c>
      <c r="I18" s="395">
        <f>IF(ISNUMBER((Tasas!C18-Datos!BE18)/Datos!BE18),(Tasas!C18-Datos!BE18)/Datos!BE18," - ")</f>
        <v>-0.51388888888888884</v>
      </c>
      <c r="J18" s="394">
        <f>IF(ISNUMBER((Tasas!D18-Datos!BF18)/Datos!BF18),(Tasas!D18-Datos!BF18)/Datos!BF18," - ")</f>
        <v>-0.375</v>
      </c>
      <c r="K18" s="396">
        <f>IF(ISNUMBER((Tasas!E18-Datos!BG18)/Datos!BG18),(Tasas!E18-Datos!BG18)/Datos!BG18," - ")</f>
        <v>-7.6086956521739066E-2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9.0909090909090912E-2</v>
      </c>
      <c r="E23" s="399">
        <f>IF(ISNUMBER(
   IF(D_I="SI",(Datos!J23-Datos!T23)/Datos!T23,(Datos!J23+Datos!AD23-(Datos!T23+Datos!AL23))/(Datos!T23+Datos!AL23))
     ),IF(D_I="SI",(Datos!J23-Datos!T23)/Datos!T23,(Datos!J23+Datos!AD23-(Datos!T23+Datos!AL23))/(Datos!T23+Datos!AL23))," - ")</f>
        <v>4.6705587989991658E-2</v>
      </c>
      <c r="F23" s="399">
        <f>IF(ISNUMBER(
   IF(D_I="SI",(Datos!K23-Datos!U23)/Datos!U23,(Datos!K23+Datos!AE23-(Datos!U23+Datos!AM23))/(Datos!U23+Datos!AM23))
     ),IF(D_I="SI",(Datos!K23-Datos!U23)/Datos!U23,(Datos!K23+Datos!AE23-(Datos!U23+Datos!AM23))/(Datos!U23+Datos!AM23))," - ")</f>
        <v>6.3386155129274396E-2</v>
      </c>
      <c r="G23" s="400">
        <f>IF(ISNUMBER(
   IF(D_I="SI",(Datos!L23-Datos!V23)/Datos!V23,(Datos!L23+Datos!AF23-(Datos!V23+Datos!AN23))/(Datos!V23+Datos!AN23))
     ),IF(D_I="SI",(Datos!L23-Datos!V23)/Datos!V23,(Datos!L23+Datos!AF23-(Datos!V23+Datos!AN23))/(Datos!V23+Datos!AN23))," - ")</f>
        <v>2.564102564102564E-2</v>
      </c>
      <c r="H23" s="401">
        <f>IF(ISNUMBER((Datos!M23-Datos!W23)/Datos!W23),(Datos!M23-Datos!W23)/Datos!W23," - ")</f>
        <v>0.20809248554913296</v>
      </c>
      <c r="I23" s="402">
        <f>IF(ISNUMBER((Tasas!C23-Datos!BE23)/Datos!BE23),(Tasas!C23-Datos!BE23)/Datos!BE23," - ")</f>
        <v>-3.5495223730517951E-2</v>
      </c>
      <c r="J23" s="400">
        <f>IF(ISNUMBER((Tasas!D23-Datos!BF23)/Datos!BF23),(Tasas!D23-Datos!BF23)/Datos!BF23," - ")</f>
        <v>0.13608069817522378</v>
      </c>
      <c r="K23" s="403">
        <f>IF(ISNUMBER((Tasas!E23-Datos!BG23)/Datos!BG23),(Tasas!E23-Datos!BG23)/Datos!BG23," - ")</f>
        <v>-7.6804647785039277E-3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-2.4539877300613498E-2</v>
      </c>
      <c r="E31" s="409">
        <f>IF(ISNUMBER(
   IF(J_V="SI",(Datos!J31-Datos!T31)/Datos!T31,(Datos!J31+Datos!Z31-(Datos!T31+Datos!AH31))/(Datos!T31+Datos!AH31))
     ),IF(J_V="SI",(Datos!J31-Datos!T31)/Datos!T31,(Datos!J31+Datos!Z31-(Datos!T31+Datos!AH31))/(Datos!T31+Datos!AH31))," - ")</f>
        <v>8.8056206088992978E-2</v>
      </c>
      <c r="F31" s="409">
        <f>IF(ISNUMBER(
   IF(J_V="SI",(Datos!K31-Datos!U31)/Datos!U31,(Datos!K31+Datos!AA31-(Datos!U31+Datos!AI31))/(Datos!U31+Datos!AI31))
     ),IF(J_V="SI",(Datos!K31-Datos!U31)/Datos!U31,(Datos!K31+Datos!AA31-(Datos!U31+Datos!AI31))/(Datos!U31+Datos!AI31))," - ")</f>
        <v>1.1004126547455296E-2</v>
      </c>
      <c r="G31" s="410">
        <f>IF(ISNUMBER(
   IF(J_V="SI",(Datos!L31-Datos!V31)/Datos!V31,(Datos!L31+Datos!AB31-(Datos!V31+Datos!AJ31))/(Datos!V31+Datos!AJ31))
     ),IF(J_V="SI",(Datos!L31-Datos!V31)/Datos!V31,(Datos!L31+Datos!AB31-(Datos!V31+Datos!AJ31))/(Datos!V31+Datos!AJ31))," - ")</f>
        <v>0.18364779874213835</v>
      </c>
      <c r="H31" s="411">
        <f>IF(ISNUMBER((Datos!M31-Datos!W31)/Datos!W31),(Datos!M31-Datos!W31)/Datos!W31," - ")</f>
        <v>7.6335877862595422E-2</v>
      </c>
      <c r="I31" s="408">
        <f>IF(ISNUMBER((Tasas!C31-Datos!BE31)/Datos!BE31),(Tasas!C31-Datos!BE31)/Datos!BE31," - ")</f>
        <v>0.17076455739528529</v>
      </c>
      <c r="J31" s="409">
        <f>IF(ISNUMBER((Tasas!D31-Datos!BF31)/Datos!BF31),(Tasas!D31-Datos!BF31)/Datos!BF31," - ")</f>
        <v>-0.29916931596759316</v>
      </c>
      <c r="K31" s="410">
        <f>IF(ISNUMBER((Tasas!E31-Datos!BG31)/Datos!BG31),(Tasas!E31-Datos!BG31)/Datos!BG31," - ")</f>
        <v>4.5444944079326595E-2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0.30141428583490915</v>
      </c>
      <c r="E33" s="303">
        <f t="shared" si="1"/>
        <v>0.2873501222117254</v>
      </c>
      <c r="F33" s="303">
        <f t="shared" si="1"/>
        <v>0.33244936071104331</v>
      </c>
      <c r="G33" s="304">
        <f t="shared" si="1"/>
        <v>0.36741132850812019</v>
      </c>
      <c r="H33" s="310">
        <f t="shared" si="1"/>
        <v>0.28802096399802113</v>
      </c>
      <c r="I33" s="302">
        <f t="shared" si="1"/>
        <v>0.43880230754017524</v>
      </c>
      <c r="J33" s="303">
        <f t="shared" si="1"/>
        <v>0.31471518230475476</v>
      </c>
      <c r="K33" s="304">
        <f t="shared" si="1"/>
        <v>0.11695333827622706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Jw9hH/5zUvNyrkMGgStRzDbAtU0W+Em+I6D4lQAvCWjibc+gtTCYdIjiaLZQZe1lRQho3VMcfoH2UyYE8M6g==" saltValue="6Oau6Mu2CoYn5509oziW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